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0" windowWidth="16110" windowHeight="10185" tabRatio="704" activeTab="0"/>
  </bookViews>
  <sheets>
    <sheet name="Guide" sheetId="1" r:id="rId1"/>
    <sheet name="Scrimmage Scoring" sheetId="2" r:id="rId2"/>
    <sheet name="Ref Sheet" sheetId="3" r:id="rId3"/>
    <sheet name="Local Comp Teams" sheetId="4" r:id="rId4"/>
    <sheet name="Local Comp Scores" sheetId="5" r:id="rId5"/>
    <sheet name="Director's Award" sheetId="6" r:id="rId6"/>
    <sheet name="Awards Summary" sheetId="7" r:id="rId7"/>
    <sheet name="Judging Schedual" sheetId="8" r:id="rId8"/>
    <sheet name="LocalTimes" sheetId="9" r:id="rId9"/>
    <sheet name="Pairings - s3" sheetId="10" r:id="rId10"/>
    <sheet name="Pairings - s4" sheetId="11" r:id="rId11"/>
    <sheet name="Pairings - s2" sheetId="12" r:id="rId12"/>
    <sheet name="Changes Log" sheetId="13" r:id="rId13"/>
  </sheets>
  <definedNames>
    <definedName name="_xlnm.Print_Area" localSheetId="6">'Awards Summary'!$A$2:$C$49</definedName>
    <definedName name="_xlnm.Print_Area" localSheetId="5">'Director''s Award'!$A$3:$P$41</definedName>
    <definedName name="_xlnm.Print_Area" localSheetId="4">'Local Comp Scores'!$A$1:$W$109</definedName>
    <definedName name="_xlnm.Print_Area" localSheetId="3">'Local Comp Teams'!$A$1:$Q$38</definedName>
    <definedName name="_xlnm.Print_Area" localSheetId="2">'Ref Sheet'!$A$1:$V$23</definedName>
    <definedName name="_xlnm.Print_Area" localSheetId="1">'Scrimmage Scoring'!$A$2:$W$128</definedName>
    <definedName name="_xlnm.Print_Titles" localSheetId="4">'Local Comp Scores'!$2:$4</definedName>
    <definedName name="Team1">'Local Comp Teams'!$C$3</definedName>
    <definedName name="Team10">'Local Comp Teams'!$C$12</definedName>
    <definedName name="Team11">'Local Comp Teams'!$C$13</definedName>
    <definedName name="Team12">'Local Comp Teams'!$C$14</definedName>
    <definedName name="Team13">'Local Comp Teams'!$C$15</definedName>
    <definedName name="Team14">'Local Comp Teams'!$C$16</definedName>
    <definedName name="Team15">'Local Comp Teams'!$C$17</definedName>
    <definedName name="Team16">'Local Comp Teams'!$C$18</definedName>
    <definedName name="Team17">'Local Comp Teams'!$C$19</definedName>
    <definedName name="Team2">'Local Comp Teams'!$C$4</definedName>
    <definedName name="Team3">'Local Comp Teams'!$C$5</definedName>
    <definedName name="Team4">'Local Comp Teams'!$C$6</definedName>
    <definedName name="Team5">'Local Comp Teams'!$C$7</definedName>
    <definedName name="Team6">'Local Comp Teams'!$C$8</definedName>
    <definedName name="Team7">'Local Comp Teams'!$C$9</definedName>
    <definedName name="Team8">'Local Comp Teams'!$C$10</definedName>
    <definedName name="Team9">'Local Comp Teams'!$C$11</definedName>
  </definedNames>
  <calcPr fullCalcOnLoad="1"/>
</workbook>
</file>

<file path=xl/comments2.xml><?xml version="1.0" encoding="utf-8"?>
<comments xmlns="http://schemas.openxmlformats.org/spreadsheetml/2006/main">
  <authors>
    <author>Dan Fairfax</author>
  </authors>
  <commentList>
    <comment ref="D3" authorId="0">
      <text>
        <r>
          <rPr>
            <b/>
            <sz val="8"/>
            <rFont val="Tahoma"/>
            <family val="0"/>
          </rPr>
          <t>Dan Fairfax:</t>
        </r>
        <r>
          <rPr>
            <sz val="8"/>
            <rFont val="Tahoma"/>
            <family val="0"/>
          </rPr>
          <t xml:space="preserve">
Get the categories ahead of time so the sheet can can calculate the catagories.</t>
        </r>
      </text>
    </comment>
  </commentList>
</comments>
</file>

<file path=xl/comments3.xml><?xml version="1.0" encoding="utf-8"?>
<comments xmlns="http://schemas.openxmlformats.org/spreadsheetml/2006/main">
  <authors>
    <author>Dan Fairfax</author>
  </authors>
  <commentList>
    <comment ref="C2" authorId="0">
      <text>
        <r>
          <rPr>
            <b/>
            <sz val="8"/>
            <rFont val="Tahoma"/>
            <family val="0"/>
          </rPr>
          <t>Dan Fairfax:</t>
        </r>
        <r>
          <rPr>
            <sz val="8"/>
            <rFont val="Tahoma"/>
            <family val="0"/>
          </rPr>
          <t xml:space="preserve">
Get the categories ahead of time so the sheet can can calculate the catagories.</t>
        </r>
      </text>
    </comment>
    <comment ref="C10" authorId="0">
      <text>
        <r>
          <rPr>
            <b/>
            <sz val="8"/>
            <rFont val="Tahoma"/>
            <family val="0"/>
          </rPr>
          <t>Dan Fairfax:</t>
        </r>
        <r>
          <rPr>
            <sz val="8"/>
            <rFont val="Tahoma"/>
            <family val="0"/>
          </rPr>
          <t xml:space="preserve">
Get the categories ahead of time so the sheet can can calculate the catagories.</t>
        </r>
      </text>
    </comment>
    <comment ref="C18" authorId="0">
      <text>
        <r>
          <rPr>
            <b/>
            <sz val="8"/>
            <rFont val="Tahoma"/>
            <family val="0"/>
          </rPr>
          <t>Dan Fairfax:</t>
        </r>
        <r>
          <rPr>
            <sz val="8"/>
            <rFont val="Tahoma"/>
            <family val="0"/>
          </rPr>
          <t xml:space="preserve">
Get the categories ahead of time so the sheet can can calculate the catagories.</t>
        </r>
      </text>
    </comment>
  </commentList>
</comments>
</file>

<file path=xl/comments5.xml><?xml version="1.0" encoding="utf-8"?>
<comments xmlns="http://schemas.openxmlformats.org/spreadsheetml/2006/main">
  <authors>
    <author>Dan Fairfax</author>
  </authors>
  <commentList>
    <comment ref="D3" authorId="0">
      <text>
        <r>
          <rPr>
            <b/>
            <sz val="8"/>
            <rFont val="Tahoma"/>
            <family val="0"/>
          </rPr>
          <t>Dan Fairfax:</t>
        </r>
        <r>
          <rPr>
            <sz val="8"/>
            <rFont val="Tahoma"/>
            <family val="0"/>
          </rPr>
          <t xml:space="preserve">
Get the categories ahead of time so the sheet can can calculate the catagories.</t>
        </r>
      </text>
    </comment>
  </commentList>
</comments>
</file>

<file path=xl/sharedStrings.xml><?xml version="1.0" encoding="utf-8"?>
<sst xmlns="http://schemas.openxmlformats.org/spreadsheetml/2006/main" count="1448" uniqueCount="315">
  <si>
    <t>Scoring Spreadsheet Guide</t>
  </si>
  <si>
    <t>Directions:</t>
  </si>
  <si>
    <r>
      <t xml:space="preserve">Make a </t>
    </r>
    <r>
      <rPr>
        <b/>
        <sz val="10"/>
        <rFont val="Arial"/>
        <family val="2"/>
      </rPr>
      <t>backup</t>
    </r>
    <r>
      <rPr>
        <sz val="10"/>
        <rFont val="Arial"/>
        <family val="2"/>
      </rPr>
      <t xml:space="preserve"> copy of this spreadsheet right now.</t>
    </r>
  </si>
  <si>
    <r>
      <t>Do not run</t>
    </r>
    <r>
      <rPr>
        <sz val="10"/>
        <rFont val="Arial"/>
        <family val="2"/>
      </rPr>
      <t xml:space="preserve"> any </t>
    </r>
    <r>
      <rPr>
        <b/>
        <sz val="10"/>
        <rFont val="Arial"/>
        <family val="2"/>
      </rPr>
      <t>other spreadsheets</t>
    </r>
    <r>
      <rPr>
        <sz val="10"/>
        <rFont val="Arial"/>
        <family val="2"/>
      </rPr>
      <t xml:space="preserve"> while you run this one.</t>
    </r>
  </si>
  <si>
    <r>
      <t xml:space="preserve">Click View, </t>
    </r>
    <r>
      <rPr>
        <b/>
        <sz val="10"/>
        <rFont val="Arial"/>
        <family val="2"/>
      </rPr>
      <t>Zoom…</t>
    </r>
    <r>
      <rPr>
        <sz val="10"/>
        <rFont val="Arial"/>
        <family val="2"/>
      </rPr>
      <t>, and experiment with different magnifications to arrive at a screen output that projects well.</t>
    </r>
  </si>
  <si>
    <r>
      <t xml:space="preserve">Refer to this </t>
    </r>
    <r>
      <rPr>
        <b/>
        <sz val="10"/>
        <rFont val="Arial"/>
        <family val="2"/>
      </rPr>
      <t>instruction screen</t>
    </r>
    <r>
      <rPr>
        <sz val="10"/>
        <rFont val="Arial"/>
        <family val="2"/>
      </rPr>
      <t xml:space="preserve"> often.</t>
    </r>
  </si>
  <si>
    <r>
      <t>Frequently</t>
    </r>
    <r>
      <rPr>
        <sz val="10"/>
        <rFont val="Arial"/>
        <family val="2"/>
      </rPr>
      <t xml:space="preserve"> click </t>
    </r>
    <r>
      <rPr>
        <b/>
        <sz val="10"/>
        <rFont val="Arial"/>
        <family val="2"/>
      </rPr>
      <t>save</t>
    </r>
    <r>
      <rPr>
        <sz val="10"/>
        <rFont val="Arial"/>
        <family val="2"/>
      </rPr>
      <t xml:space="preserve"> during the competition.</t>
    </r>
  </si>
  <si>
    <r>
      <t>"</t>
    </r>
    <r>
      <rPr>
        <b/>
        <i/>
        <sz val="12"/>
        <color indexed="10"/>
        <rFont val="Arial"/>
        <family val="2"/>
      </rPr>
      <t>Teams</t>
    </r>
    <r>
      <rPr>
        <b/>
        <i/>
        <sz val="12"/>
        <rFont val="Arial"/>
        <family val="2"/>
      </rPr>
      <t xml:space="preserve">" is the place to enter team numbers and names. </t>
    </r>
  </si>
  <si>
    <r>
      <t xml:space="preserve">In </t>
    </r>
    <r>
      <rPr>
        <b/>
        <sz val="10"/>
        <rFont val="Arial"/>
        <family val="2"/>
      </rPr>
      <t>Teams</t>
    </r>
    <r>
      <rPr>
        <sz val="10"/>
        <rFont val="Arial"/>
        <family val="2"/>
      </rPr>
      <t>, enter team numbers and names in the order of arrival on site, and then press enter.</t>
    </r>
  </si>
  <si>
    <r>
      <t>"</t>
    </r>
    <r>
      <rPr>
        <b/>
        <i/>
        <sz val="12"/>
        <color indexed="10"/>
        <rFont val="Arial"/>
        <family val="2"/>
      </rPr>
      <t>Scrimmage or Competition Scoring</t>
    </r>
    <r>
      <rPr>
        <b/>
        <i/>
        <sz val="12"/>
        <rFont val="Arial"/>
        <family val="2"/>
      </rPr>
      <t>" is the place to tally the data from each Ref Sheet when it comes to you.</t>
    </r>
  </si>
  <si>
    <r>
      <t xml:space="preserve">When a referee hands you a </t>
    </r>
    <r>
      <rPr>
        <b/>
        <sz val="10"/>
        <rFont val="Arial"/>
        <family val="2"/>
      </rPr>
      <t>Ref Sheet</t>
    </r>
    <r>
      <rPr>
        <sz val="10"/>
        <rFont val="Arial"/>
        <family val="2"/>
      </rPr>
      <t>, enter the data, line for line, as you see it in each box.</t>
    </r>
  </si>
  <si>
    <r>
      <t xml:space="preserve">Be sure to type </t>
    </r>
    <r>
      <rPr>
        <b/>
        <sz val="10"/>
        <rFont val="Arial"/>
        <family val="2"/>
      </rPr>
      <t>Enter</t>
    </r>
    <r>
      <rPr>
        <sz val="10"/>
        <rFont val="Arial"/>
        <family val="2"/>
      </rPr>
      <t xml:space="preserve"> after every entry (necessary for the spreadsheet to function).</t>
    </r>
  </si>
  <si>
    <r>
      <t xml:space="preserve">When you're finished, note the score and write it in pen on the </t>
    </r>
    <r>
      <rPr>
        <b/>
        <sz val="10"/>
        <rFont val="Arial"/>
        <family val="2"/>
      </rPr>
      <t>Ref Sheet</t>
    </r>
    <r>
      <rPr>
        <sz val="10"/>
        <rFont val="Arial"/>
        <family val="2"/>
      </rPr>
      <t>.  This is a hardcopy backup system.</t>
    </r>
  </si>
  <si>
    <r>
      <t xml:space="preserve">Then go to the  Scoring </t>
    </r>
    <r>
      <rPr>
        <b/>
        <sz val="10"/>
        <rFont val="Arial"/>
        <family val="2"/>
      </rPr>
      <t xml:space="preserve">Poster </t>
    </r>
    <r>
      <rPr>
        <sz val="10"/>
        <rFont val="Arial"/>
        <family val="2"/>
      </rPr>
      <t xml:space="preserve">and with a marking pen enter the score and results for the </t>
    </r>
    <r>
      <rPr>
        <b/>
        <sz val="10"/>
        <rFont val="Arial"/>
        <family val="2"/>
      </rPr>
      <t>correct team</t>
    </r>
    <r>
      <rPr>
        <sz val="10"/>
        <rFont val="Arial"/>
        <family val="2"/>
      </rPr>
      <t xml:space="preserve"> in the </t>
    </r>
    <r>
      <rPr>
        <b/>
        <sz val="10"/>
        <rFont val="Arial"/>
        <family val="2"/>
      </rPr>
      <t>correct round/match</t>
    </r>
    <r>
      <rPr>
        <sz val="10"/>
        <rFont val="Arial"/>
        <family val="2"/>
      </rPr>
      <t>.</t>
    </r>
  </si>
  <si>
    <r>
      <t>After  the A through D rounds</t>
    </r>
    <r>
      <rPr>
        <sz val="10"/>
        <rFont val="Arial"/>
        <family val="2"/>
      </rPr>
      <t xml:space="preserve"> scores are input and checked press </t>
    </r>
    <r>
      <rPr>
        <b/>
        <sz val="10"/>
        <color indexed="10"/>
        <rFont val="Arial"/>
        <family val="2"/>
      </rPr>
      <t>Control Key</t>
    </r>
    <r>
      <rPr>
        <sz val="10"/>
        <rFont val="Arial"/>
        <family val="2"/>
      </rPr>
      <t xml:space="preserve"> and the "</t>
    </r>
    <r>
      <rPr>
        <b/>
        <sz val="10"/>
        <color indexed="10"/>
        <rFont val="Arial"/>
        <family val="2"/>
      </rPr>
      <t>O</t>
    </r>
    <r>
      <rPr>
        <sz val="10"/>
        <rFont val="Arial"/>
        <family val="2"/>
      </rPr>
      <t>" key at the same time and the spreadsheet will automatically seed the teams moving on to the Playoffs.</t>
    </r>
  </si>
  <si>
    <r>
      <t>After  the Playoff round</t>
    </r>
    <r>
      <rPr>
        <sz val="10"/>
        <rFont val="Arial"/>
        <family val="2"/>
      </rPr>
      <t xml:space="preserve"> scores are input and checked the scorekeeper enters the winners of each match into the quarter final table.</t>
    </r>
  </si>
  <si>
    <r>
      <t>After the Quarter Final round</t>
    </r>
    <r>
      <rPr>
        <sz val="10"/>
        <rFont val="Arial"/>
        <family val="2"/>
      </rPr>
      <t xml:space="preserve"> scores are input and checked the scorekeeper enters the names of the quarterfinal match winners into the finals table </t>
    </r>
  </si>
  <si>
    <r>
      <t xml:space="preserve">If you print extra blank </t>
    </r>
    <r>
      <rPr>
        <b/>
        <sz val="10"/>
        <rFont val="Arial"/>
        <family val="2"/>
      </rPr>
      <t>Ref Sheets</t>
    </r>
    <r>
      <rPr>
        <sz val="10"/>
        <rFont val="Arial"/>
        <family val="2"/>
      </rPr>
      <t xml:space="preserve"> and have them available near the Scoring Poster then the teams can record their own results.</t>
    </r>
  </si>
  <si>
    <t>WHEN THE DAY IS DONE</t>
  </si>
  <si>
    <t>Celebrate a job well done with your team and coaches!!!!</t>
  </si>
  <si>
    <t>Glasses at Base</t>
  </si>
  <si>
    <t>CD at Case</t>
  </si>
  <si>
    <t>CD at Desktop</t>
  </si>
  <si>
    <t>Ball in Center Ring</t>
  </si>
  <si>
    <t>Balls Your Side of Basket</t>
  </si>
  <si>
    <t>Balls on Your Mat</t>
  </si>
  <si>
    <t>On Top Platform Only</t>
  </si>
  <si>
    <t>On Steps and Not on Mat</t>
  </si>
  <si>
    <t>Food at Patio</t>
  </si>
  <si>
    <t>Open, Locked</t>
  </si>
  <si>
    <t>Open, Not Locked</t>
  </si>
  <si>
    <t>All Food on Table</t>
  </si>
  <si>
    <t>Some Food on Table</t>
  </si>
  <si>
    <t>All Legs At Carpet</t>
  </si>
  <si>
    <t>Los Altos Scrimmage</t>
  </si>
  <si>
    <t>SCORE</t>
  </si>
  <si>
    <t>Glasses</t>
  </si>
  <si>
    <t>CD</t>
  </si>
  <si>
    <t>Balls</t>
  </si>
  <si>
    <t>Stairs</t>
  </si>
  <si>
    <t>Pet</t>
  </si>
  <si>
    <t>Gate</t>
  </si>
  <si>
    <t>Food Bowl</t>
  </si>
  <si>
    <t>Chairs</t>
  </si>
  <si>
    <r>
      <t xml:space="preserve">No Limits Score Sheet          </t>
    </r>
    <r>
      <rPr>
        <b/>
        <sz val="16"/>
        <color indexed="10"/>
        <rFont val="tahoma"/>
        <family val="2"/>
      </rPr>
      <t>Max</t>
    </r>
  </si>
  <si>
    <t>16 x 5</t>
  </si>
  <si>
    <t>16 x 2</t>
  </si>
  <si>
    <t>3 x 15</t>
  </si>
  <si>
    <t>#</t>
  </si>
  <si>
    <t>Table</t>
  </si>
  <si>
    <t>Time</t>
  </si>
  <si>
    <t>Team</t>
  </si>
  <si>
    <t>Max Score</t>
  </si>
  <si>
    <t>Los Altos</t>
  </si>
  <si>
    <t xml:space="preserve">Score Sheet </t>
  </si>
  <si>
    <t>Y or Blank</t>
  </si>
  <si>
    <t>Count
1 to 16</t>
  </si>
  <si>
    <t>Count
1 to 3</t>
  </si>
  <si>
    <t>Version</t>
  </si>
  <si>
    <t>Date</t>
  </si>
  <si>
    <t>Who</t>
  </si>
  <si>
    <t>Comments</t>
  </si>
  <si>
    <t>Scott Evans</t>
  </si>
  <si>
    <t>Original version from Scott Evans at FLL National</t>
  </si>
  <si>
    <t>Dan Fairfax</t>
  </si>
  <si>
    <t>First version of Local Comp file given out for review.</t>
  </si>
  <si>
    <t>Fixed link to another file problem.</t>
  </si>
  <si>
    <t>Michael Schuh</t>
  </si>
  <si>
    <t>Updated the "Over all" sheet to include weights for the four categories we are going to use.</t>
  </si>
  <si>
    <t>Changed the name of the Computer Nerds to Red Rover and hid unused columns in the "Over all" sheet.</t>
  </si>
  <si>
    <t>First Cut at 2004 Score Sheet</t>
  </si>
  <si>
    <t>Stripped out all Macros</t>
  </si>
  <si>
    <r>
      <t>Los Altos</t>
    </r>
    <r>
      <rPr>
        <b/>
        <sz val="26"/>
        <color indexed="8"/>
        <rFont val="Arial"/>
        <family val="2"/>
      </rPr>
      <t xml:space="preserve"> </t>
    </r>
    <r>
      <rPr>
        <b/>
        <sz val="26"/>
        <color indexed="14"/>
        <rFont val="Arial"/>
        <family val="2"/>
      </rPr>
      <t>F</t>
    </r>
    <r>
      <rPr>
        <b/>
        <sz val="26"/>
        <color indexed="9"/>
        <rFont val="Arial"/>
        <family val="2"/>
      </rPr>
      <t>L</t>
    </r>
    <r>
      <rPr>
        <b/>
        <sz val="26"/>
        <color indexed="43"/>
        <rFont val="Arial"/>
        <family val="2"/>
      </rPr>
      <t>L</t>
    </r>
    <r>
      <rPr>
        <b/>
        <sz val="26"/>
        <color indexed="55"/>
        <rFont val="Arial"/>
        <family val="2"/>
      </rPr>
      <t xml:space="preserve"> 2</t>
    </r>
    <r>
      <rPr>
        <b/>
        <sz val="26"/>
        <color indexed="10"/>
        <rFont val="Arial"/>
        <family val="2"/>
      </rPr>
      <t>0</t>
    </r>
    <r>
      <rPr>
        <b/>
        <sz val="26"/>
        <color indexed="9"/>
        <rFont val="Arial"/>
        <family val="2"/>
      </rPr>
      <t>04</t>
    </r>
    <r>
      <rPr>
        <b/>
        <sz val="26"/>
        <color indexed="55"/>
        <rFont val="Arial"/>
        <family val="2"/>
      </rPr>
      <t>:</t>
    </r>
    <r>
      <rPr>
        <b/>
        <i/>
        <sz val="26"/>
        <color indexed="23"/>
        <rFont val="Arial"/>
        <family val="2"/>
      </rPr>
      <t xml:space="preserve"> </t>
    </r>
    <r>
      <rPr>
        <b/>
        <i/>
        <sz val="26"/>
        <color indexed="13"/>
        <rFont val="Arial"/>
        <family val="2"/>
      </rPr>
      <t>NO LIMITS</t>
    </r>
  </si>
  <si>
    <t>Bus</t>
  </si>
  <si>
    <t>White Sign Deflected,
Red Signs not Deflected</t>
  </si>
  <si>
    <t>3 x 10</t>
  </si>
  <si>
    <t>Fixed Chairs scoring to be 10 points and added in Bus Signs</t>
  </si>
  <si>
    <t>Powers, Schuh, &amp; Weigel</t>
  </si>
  <si>
    <t>2004 Season: No Limits</t>
  </si>
  <si>
    <t>2003 Season: Mission Mars</t>
  </si>
  <si>
    <t>FLL #</t>
  </si>
  <si>
    <t>Coach</t>
  </si>
  <si>
    <t>DogBots</t>
  </si>
  <si>
    <t>TigerBots</t>
  </si>
  <si>
    <t>Wyn Schuh</t>
  </si>
  <si>
    <t>Number</t>
  </si>
  <si>
    <t>CyberDisks</t>
  </si>
  <si>
    <t>Antonio Martinez &amp; Chuck Wilde</t>
  </si>
  <si>
    <t>Roboraiders</t>
  </si>
  <si>
    <t>Steve Lovett/Steven Pollitt</t>
  </si>
  <si>
    <t>Gordon Elder/Linda Runke</t>
  </si>
  <si>
    <t>Edmond Macaluso</t>
  </si>
  <si>
    <t>Team Taffy</t>
  </si>
  <si>
    <t>Weo Moerner</t>
  </si>
  <si>
    <t>Jim Zuegel</t>
  </si>
  <si>
    <t>Yanjie Dong</t>
  </si>
  <si>
    <t>Happy Hippos</t>
  </si>
  <si>
    <t>Ragu and Gita Bhargava</t>
  </si>
  <si>
    <t>Battery-powered Legomen</t>
  </si>
  <si>
    <t>Paul Stolorz</t>
  </si>
  <si>
    <t>Ken Dawson/Joann Reed</t>
  </si>
  <si>
    <t>Tom Sartor</t>
  </si>
  <si>
    <t>Bruce Moxon</t>
  </si>
  <si>
    <t>Lew Yobs</t>
  </si>
  <si>
    <t>Tim Burks</t>
  </si>
  <si>
    <t>Max</t>
  </si>
  <si>
    <t>Total</t>
  </si>
  <si>
    <t>Runs</t>
  </si>
  <si>
    <t>Average</t>
  </si>
  <si>
    <t>NOTE:</t>
  </si>
  <si>
    <t>Best (1st Place)</t>
  </si>
  <si>
    <t>Runner Up (2nd Place)</t>
  </si>
  <si>
    <t>First Score</t>
  </si>
  <si>
    <t>Improvement</t>
  </si>
  <si>
    <t>Schuh</t>
  </si>
  <si>
    <t>Added Team Drop down and looked at computing winners.</t>
  </si>
  <si>
    <t>Figured out how to compute first and second place for all awards.</t>
  </si>
  <si>
    <t>Team 18</t>
  </si>
  <si>
    <t>Team 19</t>
  </si>
  <si>
    <t>Team 20</t>
  </si>
  <si>
    <t>Some of the above formulas are "Array" entries and must be entered with "Cntrl + Shift + Enter"</t>
  </si>
  <si>
    <t>While I have not tested it, I think that if you have more than 20 teams, you can probably</t>
  </si>
  <si>
    <t>enter new team rows in the list above by selecting the Team 20 row and then "inserting" a row.</t>
  </si>
  <si>
    <t>Set up the Scrimmage sheet for 40 matches and up to 20 teams.  The sheet is ready to go for the October 17 Scrimmage.</t>
  </si>
  <si>
    <r>
      <t>Before</t>
    </r>
    <r>
      <rPr>
        <sz val="10"/>
        <rFont val="Arial"/>
        <family val="2"/>
      </rPr>
      <t xml:space="preserve"> the tournament, print the </t>
    </r>
    <r>
      <rPr>
        <b/>
        <sz val="10"/>
        <color indexed="10"/>
        <rFont val="Arial"/>
        <family val="2"/>
      </rPr>
      <t>Ref Sheet</t>
    </r>
    <r>
      <rPr>
        <sz val="10"/>
        <rFont val="Arial"/>
        <family val="2"/>
      </rPr>
      <t>, make one copy per table pairing per round, and give them to the referees on clip boards.  Enter the team names in the list at the bottom of the scoring section of the Scrimmage Sheet.  This is also where you will find the winners and second place teams identified.</t>
    </r>
  </si>
  <si>
    <t>Wish List:</t>
  </si>
  <si>
    <t>I would like the point size of the teams in the drop down list to be bigger so it is easier to read.</t>
  </si>
  <si>
    <t>No second place team should be identified if there are multiple first place winners.  Perhaps rows after first and second place in the Scrimmage sheet should be added with counts of the number of first and second places scores.</t>
  </si>
  <si>
    <t>People</t>
  </si>
  <si>
    <t>FLL Game Creator</t>
  </si>
  <si>
    <t>Los Altos California team member parent</t>
  </si>
  <si>
    <t>Los Altos California team coordinator and coach</t>
  </si>
  <si>
    <t>Annette Powers</t>
  </si>
  <si>
    <t>Santa Cruz Mountains California coach</t>
  </si>
  <si>
    <t>Don Weigel</t>
  </si>
  <si>
    <r>
      <t xml:space="preserve">If </t>
    </r>
    <r>
      <rPr>
        <b/>
        <sz val="10"/>
        <rFont val="Arial"/>
        <family val="2"/>
      </rPr>
      <t>Sheet Tabs</t>
    </r>
    <r>
      <rPr>
        <sz val="10"/>
        <rFont val="Arial"/>
        <family val="2"/>
      </rPr>
      <t xml:space="preserve"> are not visible at the bottom of the screen, make them visible by clicking Tools, Options, and the Sheet Tabs check box in the "view" tab of the Options box.</t>
    </r>
  </si>
  <si>
    <r>
      <t xml:space="preserve">Enter the team names below.  The sheet should be "protected" so that people entering the scores do not inadvertantly mess up the formulas.  To enter the team names, select the "Tools/Protection/Unprotect Sheet" menu.  After entering the teams, turn protection back on by going to the "Tools/Protection/Protect Sheet" menu and select the contents, objects, and scenarios boxes and then click OK.
</t>
    </r>
    <r>
      <rPr>
        <b/>
        <sz val="14"/>
        <rFont val="Arial"/>
        <family val="2"/>
      </rPr>
      <t>First place scores will be highlighted in light blue and the second highest scores will be highlighted in yellow. Be sure and check for multiple teams that earn the first place score.</t>
    </r>
  </si>
  <si>
    <t>Powers</t>
  </si>
  <si>
    <t>Add a listing of the team winners to the summary at the end.  Have this in addition to being able to pick the winners out of table.</t>
  </si>
  <si>
    <t>Schuh/Powers</t>
  </si>
  <si>
    <t>Added one more run to bring the total to 40.  Enlarged the score font and added numbers to the matches.  Split the Scrimmage sheet and froze it so that heading stays on top.</t>
  </si>
  <si>
    <t>CyberBots</t>
  </si>
  <si>
    <t>Y</t>
  </si>
  <si>
    <t>Set up conditional formatting so a zero score is printed in white which hides the zero.</t>
  </si>
  <si>
    <t>Austin Schuh</t>
  </si>
  <si>
    <t>Michael Schuh's son and FLL team member.</t>
  </si>
  <si>
    <t>Michael &amp; Austin Schuh</t>
  </si>
  <si>
    <t>Have the score not compute if there is an error like the robot in two different scoring positions at the same time.</t>
  </si>
  <si>
    <t>Mechanical Monkeys</t>
  </si>
  <si>
    <t>Updated team names</t>
  </si>
  <si>
    <t>Lego Legends</t>
  </si>
  <si>
    <t>RoboFreaks</t>
  </si>
  <si>
    <t>RoboPups</t>
  </si>
  <si>
    <t>TheraBots</t>
  </si>
  <si>
    <t>Army of Six</t>
  </si>
  <si>
    <t>Rocking Robotics</t>
  </si>
  <si>
    <t>1.1O</t>
  </si>
  <si>
    <t>Loyola A</t>
  </si>
  <si>
    <t>Loyola B</t>
  </si>
  <si>
    <t>Corrected team number for TigerBots to 591.  Moxon gave me Loyola A &amp; B for his teams.</t>
  </si>
  <si>
    <t>Round A</t>
  </si>
  <si>
    <t>Los Altos Competition</t>
  </si>
  <si>
    <r>
      <t xml:space="preserve">November 20, 2004                </t>
    </r>
    <r>
      <rPr>
        <b/>
        <sz val="16"/>
        <color indexed="10"/>
        <rFont val="tahoma"/>
        <family val="2"/>
      </rPr>
      <t>Max</t>
    </r>
  </si>
  <si>
    <t>No Limits Score Sheet</t>
  </si>
  <si>
    <t>Scores</t>
  </si>
  <si>
    <t>Round B</t>
  </si>
  <si>
    <t>Round C</t>
  </si>
  <si>
    <t>Round D</t>
  </si>
  <si>
    <t>1A</t>
  </si>
  <si>
    <t>2A</t>
  </si>
  <si>
    <t>3A</t>
  </si>
  <si>
    <t>4A</t>
  </si>
  <si>
    <t>5A</t>
  </si>
  <si>
    <t>6A</t>
  </si>
  <si>
    <t>-</t>
  </si>
  <si>
    <t>7A</t>
  </si>
  <si>
    <t>8A</t>
  </si>
  <si>
    <t>9A</t>
  </si>
  <si>
    <t>1B</t>
  </si>
  <si>
    <t>2B</t>
  </si>
  <si>
    <t>3B</t>
  </si>
  <si>
    <t>4B</t>
  </si>
  <si>
    <t>5B</t>
  </si>
  <si>
    <t>6B</t>
  </si>
  <si>
    <t>7B</t>
  </si>
  <si>
    <t>8B</t>
  </si>
  <si>
    <t>1C</t>
  </si>
  <si>
    <t>2C</t>
  </si>
  <si>
    <t>1D</t>
  </si>
  <si>
    <t>2D</t>
  </si>
  <si>
    <t>3C</t>
  </si>
  <si>
    <t>3D</t>
  </si>
  <si>
    <t>4C</t>
  </si>
  <si>
    <t>4D</t>
  </si>
  <si>
    <t>5C</t>
  </si>
  <si>
    <t>5D</t>
  </si>
  <si>
    <t>6C</t>
  </si>
  <si>
    <t>6D</t>
  </si>
  <si>
    <t>7C</t>
  </si>
  <si>
    <t>7D</t>
  </si>
  <si>
    <t>8C</t>
  </si>
  <si>
    <t>8D</t>
  </si>
  <si>
    <t>9C</t>
  </si>
  <si>
    <t>A</t>
  </si>
  <si>
    <t>B</t>
  </si>
  <si>
    <t>C</t>
  </si>
  <si>
    <t>D</t>
  </si>
  <si>
    <t>Best Scores</t>
  </si>
  <si>
    <t>Average of top 3 Scores</t>
  </si>
  <si>
    <t>Rank</t>
  </si>
  <si>
    <t>Dropped</t>
  </si>
  <si>
    <t>We used this set of pairings for the 2004 Local Competition.</t>
  </si>
  <si>
    <t>Award &gt;&gt;&gt;</t>
  </si>
  <si>
    <t>Innovative Design</t>
  </si>
  <si>
    <t>Robust Design</t>
  </si>
  <si>
    <t>Programming</t>
  </si>
  <si>
    <t>Robot Performance</t>
  </si>
  <si>
    <t>Research Presentation</t>
  </si>
  <si>
    <t>Teamwork</t>
  </si>
  <si>
    <t>Weight</t>
  </si>
  <si>
    <t>Vibes</t>
  </si>
  <si>
    <t>Gifts</t>
  </si>
  <si>
    <t>Health</t>
  </si>
  <si>
    <t>Connections</t>
  </si>
  <si>
    <t>Qualifications</t>
  </si>
  <si>
    <t>MAX SCORE</t>
  </si>
  <si>
    <t>Performance</t>
  </si>
  <si>
    <t>Notes</t>
  </si>
  <si>
    <t>Weight &gt;&gt;&gt;</t>
  </si>
  <si>
    <t>Overall</t>
  </si>
  <si>
    <t>Team Name</t>
  </si>
  <si>
    <t>The Max Score comes from the "Local Comp Scores" sheet cells K3-K19.</t>
  </si>
  <si>
    <t>Added team number 2616 for Steve Lovett.  First cut at Local competition.</t>
  </si>
  <si>
    <t>Best Score Winners</t>
  </si>
  <si>
    <t>Highest Average Score Winners</t>
  </si>
  <si>
    <r>
      <t>"</t>
    </r>
    <r>
      <rPr>
        <b/>
        <i/>
        <sz val="12"/>
        <color indexed="10"/>
        <rFont val="Arial"/>
        <family val="2"/>
      </rPr>
      <t>Director's Award</t>
    </r>
    <r>
      <rPr>
        <b/>
        <i/>
        <sz val="12"/>
        <rFont val="Arial"/>
        <family val="2"/>
      </rPr>
      <t>" is the place to enter each teams judging scores.</t>
    </r>
  </si>
  <si>
    <t>Score (0-10 except for Max Score)</t>
  </si>
  <si>
    <t>Score</t>
  </si>
  <si>
    <t>Place</t>
  </si>
  <si>
    <t>Winners Team Name List</t>
  </si>
  <si>
    <t>Type Ctrl-j to determine the Judging Winners.  Do this after any changes in the scores above.</t>
  </si>
  <si>
    <t>Best Scores
(Used for tie breakers)</t>
  </si>
  <si>
    <t>Added "Winners" (Ctrl-w) and "Judges" (Ctrl-j) macros.</t>
  </si>
  <si>
    <t>Judging Schedule</t>
  </si>
  <si>
    <r>
      <t xml:space="preserve">
 Robot Design and Team Categories</t>
    </r>
    <r>
      <rPr>
        <b/>
        <sz val="16"/>
        <rFont val="Arial"/>
        <family val="2"/>
      </rPr>
      <t xml:space="preserve">
Go to Oak Multipurpose Room (Cabin 9)</t>
    </r>
  </si>
  <si>
    <r>
      <t xml:space="preserve">
 Programing Category</t>
    </r>
    <r>
      <rPr>
        <b/>
        <sz val="16"/>
        <rFont val="Arial"/>
        <family val="2"/>
      </rPr>
      <t xml:space="preserve">
Go to your Pit Table</t>
    </r>
  </si>
  <si>
    <t>Ordered teams and redid judges schedule.  Added "Local Times" sheet.</t>
  </si>
  <si>
    <t>a</t>
  </si>
  <si>
    <t>P</t>
  </si>
  <si>
    <t>b</t>
  </si>
  <si>
    <t>J1</t>
  </si>
  <si>
    <t>J2</t>
  </si>
  <si>
    <t>d</t>
  </si>
  <si>
    <t>e</t>
  </si>
  <si>
    <t xml:space="preserve"> </t>
  </si>
  <si>
    <r>
      <t>Type</t>
    </r>
    <r>
      <rPr>
        <b/>
        <sz val="16"/>
        <color indexed="10"/>
        <rFont val="Arial"/>
        <family val="2"/>
      </rPr>
      <t xml:space="preserve"> Ctrl-w</t>
    </r>
    <r>
      <rPr>
        <b/>
        <sz val="14"/>
        <color indexed="10"/>
        <rFont val="Arial"/>
        <family val="2"/>
      </rPr>
      <t xml:space="preserve"> to determine the winners.  Do this after any changes in the scores above.</t>
    </r>
  </si>
  <si>
    <t>Put team names in and cleared the scores.</t>
  </si>
  <si>
    <t>AWARD TYPE:</t>
  </si>
  <si>
    <t xml:space="preserve">    Director's Award</t>
  </si>
  <si>
    <t>1st __________________________________</t>
  </si>
  <si>
    <t xml:space="preserve">    Innovative Design Award</t>
  </si>
  <si>
    <t xml:space="preserve">    Robust Design Award</t>
  </si>
  <si>
    <t xml:space="preserve">    Programming Award</t>
  </si>
  <si>
    <t xml:space="preserve">    Highest Score Award - Best score during all of the rounds (include the scores too)</t>
  </si>
  <si>
    <t xml:space="preserve">    Research Presentation Award</t>
  </si>
  <si>
    <t xml:space="preserve">    Teamwork Award</t>
  </si>
  <si>
    <r>
      <t xml:space="preserve">  </t>
    </r>
    <r>
      <rPr>
        <b/>
        <sz val="10"/>
        <rFont val="Arial"/>
        <family val="2"/>
      </rPr>
      <t>Optional Awards:</t>
    </r>
  </si>
  <si>
    <t xml:space="preserve">    Outstanding Volunteer Award</t>
  </si>
  <si>
    <t xml:space="preserve">    Outstanding Coach Award</t>
  </si>
  <si>
    <t xml:space="preserve">    Outstanding Mentor Award</t>
  </si>
  <si>
    <t xml:space="preserve">    Outstanding Young Mentor Award</t>
  </si>
  <si>
    <t xml:space="preserve">    Rookie Team of the Year Award</t>
  </si>
  <si>
    <t xml:space="preserve">    Against All Odds Award</t>
  </si>
  <si>
    <t xml:space="preserve">    Team Spirit Award</t>
  </si>
  <si>
    <t xml:space="preserve">    Judges' Choice Award</t>
  </si>
  <si>
    <r>
      <t xml:space="preserve">  </t>
    </r>
    <r>
      <rPr>
        <b/>
        <sz val="10"/>
        <rFont val="Arial"/>
        <family val="2"/>
      </rPr>
      <t>Performance Awards:</t>
    </r>
  </si>
  <si>
    <t xml:space="preserve">      Robot Performance Award - Based on highest average score of best three rounds</t>
  </si>
  <si>
    <t>(include the scores too)</t>
  </si>
  <si>
    <t xml:space="preserve">          </t>
  </si>
  <si>
    <t xml:space="preserve">      State Competiton Qualifying</t>
  </si>
  <si>
    <t>Added awards summary sheet.</t>
  </si>
  <si>
    <t>Enter Scores of 0 to 10 for Innovative Design through Teamwork</t>
  </si>
  <si>
    <t>Electric Pussycat</t>
  </si>
  <si>
    <t>Catbot 2000</t>
  </si>
  <si>
    <t>Changed names of Loyola A &amp; B teams to Electric Pussycat and Catbot 2000</t>
  </si>
  <si>
    <r>
      <t>"</t>
    </r>
    <r>
      <rPr>
        <b/>
        <i/>
        <sz val="12"/>
        <color indexed="10"/>
        <rFont val="Arial"/>
        <family val="2"/>
      </rPr>
      <t>For Competition Scoring</t>
    </r>
    <r>
      <rPr>
        <b/>
        <i/>
        <sz val="12"/>
        <rFont val="Arial"/>
        <family val="2"/>
      </rPr>
      <t>"  Put the team names in "Local Comp Teams" sheet and record the scores on the "Local Comp Scores" sheet.  The Winner macro (Ctrl-w) computes the Highest Score and Highest Average Score.  The results for the competition Scoring are tracked on the "Local Comp Teams" sheet.</t>
    </r>
  </si>
  <si>
    <t>1st ___Lego Legends_______________________________</t>
  </si>
  <si>
    <t>1st ___Team Taffy_______________________________</t>
  </si>
  <si>
    <t>1st __Lego Legends________________________________</t>
  </si>
  <si>
    <t>1st ___Army of Six_______________________________</t>
  </si>
  <si>
    <t>First Place</t>
  </si>
  <si>
    <t>Second Place</t>
  </si>
  <si>
    <t>1st ___Kathi Fox, Wyn Schuh, Kay Ashley, &amp; Gordon Elder</t>
  </si>
  <si>
    <t>1st __Charles Wilde and Paul Stolorz</t>
  </si>
  <si>
    <t>1st____ Austin, Travis and Parker Schuh</t>
  </si>
  <si>
    <t>2nd ____TigerBots</t>
  </si>
  <si>
    <t>2nd ___DogBots______________________________</t>
  </si>
  <si>
    <t>2nd _____TigerBots____________________________</t>
  </si>
  <si>
    <t>2nd ___CyberDisks______________________________</t>
  </si>
  <si>
    <t>1st ___TigerBots_______________________________</t>
  </si>
  <si>
    <t>1st ___DogBots_______________________________</t>
  </si>
  <si>
    <t>2nd ___TigerBots______________________________</t>
  </si>
  <si>
    <t>1st __TheraBots________________________________</t>
  </si>
  <si>
    <t>1st ___DogBots___261____________</t>
  </si>
  <si>
    <t>2nd __TigerBots____242________________</t>
  </si>
  <si>
    <t>1st ___Cyber Bots__________</t>
  </si>
  <si>
    <t>3rd ___Cyber Bots____________</t>
  </si>
  <si>
    <t>5th Happy Hippos    174</t>
  </si>
  <si>
    <t>6th   Roboraiders  158</t>
  </si>
  <si>
    <t>4th ___Lego Legends___210</t>
  </si>
  <si>
    <t>3rd___Team Taffy___230</t>
  </si>
  <si>
    <t>3rd __DogBots</t>
  </si>
  <si>
    <t>4th ____Team Taffy</t>
  </si>
  <si>
    <t>5th   Happy Hippos</t>
  </si>
  <si>
    <t>6th   Roboraiders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</si>
</sst>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0000"/>
  </numFmts>
  <fonts count="56">
    <font>
      <sz val="10"/>
      <name val="Arial"/>
      <family val="0"/>
    </font>
    <font>
      <b/>
      <sz val="26"/>
      <color indexed="10"/>
      <name val="Arial"/>
      <family val="2"/>
    </font>
    <font>
      <b/>
      <sz val="26"/>
      <color indexed="8"/>
      <name val="Arial"/>
      <family val="2"/>
    </font>
    <font>
      <b/>
      <sz val="26"/>
      <color indexed="9"/>
      <name val="Arial"/>
      <family val="2"/>
    </font>
    <font>
      <b/>
      <sz val="26"/>
      <color indexed="43"/>
      <name val="Arial"/>
      <family val="2"/>
    </font>
    <font>
      <b/>
      <sz val="26"/>
      <color indexed="55"/>
      <name val="Arial"/>
      <family val="2"/>
    </font>
    <font>
      <b/>
      <i/>
      <sz val="26"/>
      <color indexed="23"/>
      <name val="Arial"/>
      <family val="2"/>
    </font>
    <font>
      <b/>
      <i/>
      <sz val="26"/>
      <color indexed="13"/>
      <name val="Arial"/>
      <family val="2"/>
    </font>
    <font>
      <b/>
      <sz val="16"/>
      <name val="Arial"/>
      <family val="2"/>
    </font>
    <font>
      <b/>
      <sz val="12"/>
      <name val="Arial"/>
      <family val="2"/>
    </font>
    <font>
      <b/>
      <sz val="10"/>
      <name val="Arial"/>
      <family val="2"/>
    </font>
    <font>
      <b/>
      <i/>
      <sz val="12"/>
      <name val="Arial"/>
      <family val="2"/>
    </font>
    <font>
      <b/>
      <i/>
      <sz val="12"/>
      <color indexed="10"/>
      <name val="Arial"/>
      <family val="2"/>
    </font>
    <font>
      <b/>
      <sz val="10"/>
      <color indexed="10"/>
      <name val="Arial"/>
      <family val="2"/>
    </font>
    <font>
      <b/>
      <i/>
      <sz val="16"/>
      <name val="Arial"/>
      <family val="2"/>
    </font>
    <font>
      <sz val="10"/>
      <color indexed="11"/>
      <name val="Arial"/>
      <family val="2"/>
    </font>
    <font>
      <sz val="10"/>
      <name val="Tahoma"/>
      <family val="2"/>
    </font>
    <font>
      <b/>
      <sz val="20"/>
      <name val="tahoma"/>
      <family val="2"/>
    </font>
    <font>
      <b/>
      <sz val="12"/>
      <name val="tahoma"/>
      <family val="2"/>
    </font>
    <font>
      <sz val="12"/>
      <name val="tahoma"/>
      <family val="2"/>
    </font>
    <font>
      <b/>
      <sz val="8"/>
      <color indexed="10"/>
      <name val="Tahoma"/>
      <family val="2"/>
    </font>
    <font>
      <b/>
      <sz val="10"/>
      <name val="Tahoma"/>
      <family val="2"/>
    </font>
    <font>
      <b/>
      <sz val="16"/>
      <name val="tahoma"/>
      <family val="2"/>
    </font>
    <font>
      <b/>
      <sz val="16"/>
      <color indexed="10"/>
      <name val="tahoma"/>
      <family val="2"/>
    </font>
    <font>
      <sz val="12"/>
      <color indexed="10"/>
      <name val="Tahoma"/>
      <family val="2"/>
    </font>
    <font>
      <sz val="10"/>
      <color indexed="10"/>
      <name val="Tahoma"/>
      <family val="2"/>
    </font>
    <font>
      <b/>
      <sz val="18"/>
      <color indexed="10"/>
      <name val="tahoma"/>
      <family val="2"/>
    </font>
    <font>
      <b/>
      <sz val="12"/>
      <color indexed="10"/>
      <name val="Tahoma"/>
      <family val="2"/>
    </font>
    <font>
      <b/>
      <sz val="18"/>
      <name val="tahoma"/>
      <family val="2"/>
    </font>
    <font>
      <b/>
      <sz val="8"/>
      <name val="Tahoma"/>
      <family val="0"/>
    </font>
    <font>
      <sz val="8"/>
      <name val="Tahoma"/>
      <family val="0"/>
    </font>
    <font>
      <sz val="11"/>
      <name val="tahoma"/>
      <family val="2"/>
    </font>
    <font>
      <b/>
      <sz val="26"/>
      <color indexed="14"/>
      <name val="Arial"/>
      <family val="2"/>
    </font>
    <font>
      <b/>
      <sz val="14"/>
      <name val="Arial"/>
      <family val="2"/>
    </font>
    <font>
      <sz val="14"/>
      <name val="Arial"/>
      <family val="2"/>
    </font>
    <font>
      <sz val="10"/>
      <color indexed="8"/>
      <name val="Arial"/>
      <family val="0"/>
    </font>
    <font>
      <sz val="14"/>
      <color indexed="8"/>
      <name val="Arial"/>
      <family val="2"/>
    </font>
    <font>
      <sz val="14"/>
      <name val="Tahoma"/>
      <family val="2"/>
    </font>
    <font>
      <u val="single"/>
      <sz val="10"/>
      <color indexed="12"/>
      <name val="Arial"/>
      <family val="0"/>
    </font>
    <font>
      <u val="single"/>
      <sz val="10"/>
      <color indexed="36"/>
      <name val="Arial"/>
      <family val="0"/>
    </font>
    <font>
      <b/>
      <sz val="14"/>
      <color indexed="8"/>
      <name val="Arial"/>
      <family val="2"/>
    </font>
    <font>
      <b/>
      <sz val="20"/>
      <color indexed="8"/>
      <name val="Arial"/>
      <family val="2"/>
    </font>
    <font>
      <sz val="16"/>
      <color indexed="10"/>
      <name val="Tahoma"/>
      <family val="2"/>
    </font>
    <font>
      <b/>
      <sz val="14"/>
      <name val="Tahoma"/>
      <family val="2"/>
    </font>
    <font>
      <sz val="8"/>
      <name val="Arial"/>
      <family val="2"/>
    </font>
    <font>
      <b/>
      <sz val="20"/>
      <name val="Arial"/>
      <family val="2"/>
    </font>
    <font>
      <b/>
      <sz val="9"/>
      <name val="Arial"/>
      <family val="2"/>
    </font>
    <font>
      <b/>
      <sz val="11"/>
      <name val="Arial"/>
      <family val="2"/>
    </font>
    <font>
      <b/>
      <sz val="8"/>
      <color indexed="9"/>
      <name val="Arial"/>
      <family val="2"/>
    </font>
    <font>
      <b/>
      <sz val="8"/>
      <name val="Arial"/>
      <family val="2"/>
    </font>
    <font>
      <b/>
      <sz val="10"/>
      <color indexed="9"/>
      <name val="Arial"/>
      <family val="2"/>
    </font>
    <font>
      <b/>
      <sz val="10"/>
      <color indexed="8"/>
      <name val="Arial"/>
      <family val="2"/>
    </font>
    <font>
      <b/>
      <sz val="14"/>
      <color indexed="10"/>
      <name val="Arial"/>
      <family val="2"/>
    </font>
    <font>
      <b/>
      <sz val="16"/>
      <color indexed="10"/>
      <name val="Arial"/>
      <family val="2"/>
    </font>
    <font>
      <b/>
      <sz val="12"/>
      <color indexed="8"/>
      <name val="Arial"/>
      <family val="2"/>
    </font>
    <font>
      <b/>
      <sz val="18"/>
      <name val="Arial"/>
      <family val="2"/>
    </font>
  </fonts>
  <fills count="22">
    <fill>
      <patternFill/>
    </fill>
    <fill>
      <patternFill patternType="gray125"/>
    </fill>
    <fill>
      <patternFill patternType="solid">
        <fgColor indexed="8"/>
        <bgColor indexed="64"/>
      </patternFill>
    </fill>
    <fill>
      <patternFill patternType="solid">
        <fgColor indexed="44"/>
        <bgColor indexed="64"/>
      </patternFill>
    </fill>
    <fill>
      <patternFill patternType="solid">
        <fgColor indexed="13"/>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5"/>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12"/>
        <bgColor indexed="64"/>
      </patternFill>
    </fill>
    <fill>
      <patternFill patternType="solid">
        <fgColor indexed="22"/>
        <bgColor indexed="64"/>
      </patternFill>
    </fill>
    <fill>
      <patternFill patternType="solid">
        <fgColor indexed="53"/>
        <bgColor indexed="64"/>
      </patternFill>
    </fill>
    <fill>
      <patternFill patternType="solid">
        <fgColor indexed="51"/>
        <bgColor indexed="64"/>
      </patternFill>
    </fill>
    <fill>
      <patternFill patternType="solid">
        <fgColor indexed="20"/>
        <bgColor indexed="64"/>
      </patternFill>
    </fill>
    <fill>
      <patternFill patternType="solid">
        <fgColor indexed="17"/>
        <bgColor indexed="64"/>
      </patternFill>
    </fill>
    <fill>
      <patternFill patternType="solid">
        <fgColor indexed="14"/>
        <bgColor indexed="64"/>
      </patternFill>
    </fill>
    <fill>
      <patternFill patternType="solid">
        <fgColor indexed="48"/>
        <bgColor indexed="64"/>
      </patternFill>
    </fill>
    <fill>
      <patternFill patternType="solid">
        <fgColor indexed="43"/>
        <bgColor indexed="64"/>
      </patternFill>
    </fill>
    <fill>
      <patternFill patternType="solid">
        <fgColor indexed="52"/>
        <bgColor indexed="64"/>
      </patternFill>
    </fill>
  </fills>
  <borders count="51">
    <border>
      <left/>
      <right/>
      <top/>
      <bottom/>
      <diagonal/>
    </border>
    <border>
      <left style="thick"/>
      <right style="thick"/>
      <top style="thick"/>
      <bottom>
        <color indexed="63"/>
      </bottom>
    </border>
    <border>
      <left style="thick"/>
      <right style="thick"/>
      <top>
        <color indexed="63"/>
      </top>
      <bottom>
        <color indexed="63"/>
      </bottom>
    </border>
    <border>
      <left style="thick"/>
      <right style="thick"/>
      <top style="thick"/>
      <bottom style="thick"/>
    </border>
    <border>
      <left style="thick"/>
      <right style="thick"/>
      <top>
        <color indexed="63"/>
      </top>
      <bottom style="thick"/>
    </border>
    <border>
      <left>
        <color indexed="63"/>
      </left>
      <right style="medium"/>
      <top>
        <color indexed="63"/>
      </top>
      <bottom style="medium"/>
    </border>
    <border>
      <left style="medium"/>
      <right style="medium"/>
      <top style="medium"/>
      <bottom>
        <color indexed="63"/>
      </bottom>
    </border>
    <border>
      <left style="medium"/>
      <right style="medium"/>
      <top style="medium"/>
      <bottom style="medium"/>
    </border>
    <border>
      <left style="medium"/>
      <right style="medium"/>
      <top>
        <color indexed="63"/>
      </top>
      <bottom>
        <color indexed="63"/>
      </botto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thin"/>
    </border>
    <border>
      <left style="medium"/>
      <right style="medium"/>
      <top style="medium"/>
      <bottom style="thin"/>
    </border>
    <border>
      <left>
        <color indexed="63"/>
      </left>
      <right>
        <color indexed="63"/>
      </right>
      <top>
        <color indexed="63"/>
      </top>
      <bottom style="thin"/>
    </border>
    <border>
      <left style="medium"/>
      <right style="medium"/>
      <top>
        <color indexed="63"/>
      </top>
      <bottom style="medium"/>
    </border>
    <border>
      <left style="medium"/>
      <right>
        <color indexed="63"/>
      </right>
      <top style="medium"/>
      <bottom style="thin"/>
    </border>
    <border>
      <left style="medium"/>
      <right>
        <color indexed="63"/>
      </right>
      <top style="thin"/>
      <bottom style="medium"/>
    </border>
    <border>
      <left style="medium"/>
      <right style="medium"/>
      <top style="thin"/>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thin"/>
    </border>
    <border>
      <left>
        <color indexed="63"/>
      </left>
      <right style="medium"/>
      <top>
        <color indexed="63"/>
      </top>
      <bottom>
        <color indexed="63"/>
      </bottom>
    </border>
    <border>
      <left>
        <color indexed="63"/>
      </left>
      <right style="medium"/>
      <top>
        <color indexed="63"/>
      </top>
      <bottom style="thin"/>
    </border>
    <border>
      <left>
        <color indexed="63"/>
      </left>
      <right style="thin"/>
      <top>
        <color indexed="63"/>
      </top>
      <bottom style="thin"/>
    </border>
    <border>
      <left>
        <color indexed="63"/>
      </left>
      <right style="medium"/>
      <top style="thin"/>
      <bottom style="medium"/>
    </border>
    <border>
      <left style="medium"/>
      <right>
        <color indexed="63"/>
      </right>
      <top style="thin"/>
      <bottom style="thin"/>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style="medium"/>
    </border>
    <border>
      <left>
        <color indexed="63"/>
      </left>
      <right>
        <color indexed="63"/>
      </right>
      <top style="medium"/>
      <bottom>
        <color indexed="63"/>
      </bottom>
    </border>
    <border>
      <left>
        <color indexed="63"/>
      </left>
      <right style="thin"/>
      <top style="medium"/>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5" fillId="0" borderId="0">
      <alignment/>
      <protection/>
    </xf>
    <xf numFmtId="9" fontId="0" fillId="0" borderId="0" applyFont="0" applyFill="0" applyBorder="0" applyAlignment="0" applyProtection="0"/>
  </cellStyleXfs>
  <cellXfs count="386">
    <xf numFmtId="0" fontId="0" fillId="0" borderId="0" xfId="0" applyAlignment="1">
      <alignment/>
    </xf>
    <xf numFmtId="0" fontId="1" fillId="2" borderId="1" xfId="0" applyFont="1" applyFill="1" applyBorder="1" applyAlignment="1">
      <alignment horizontal="left" wrapText="1"/>
    </xf>
    <xf numFmtId="0" fontId="8" fillId="0" borderId="2" xfId="0" applyFont="1" applyFill="1" applyBorder="1" applyAlignment="1">
      <alignment horizontal="left" wrapText="1"/>
    </xf>
    <xf numFmtId="0" fontId="0" fillId="2" borderId="3" xfId="0" applyFont="1" applyFill="1" applyBorder="1" applyAlignment="1">
      <alignment horizontal="left" vertical="center" wrapText="1"/>
    </xf>
    <xf numFmtId="0" fontId="9" fillId="0" borderId="1" xfId="0" applyFont="1" applyFill="1" applyBorder="1" applyAlignment="1">
      <alignment horizontal="left" wrapText="1"/>
    </xf>
    <xf numFmtId="0" fontId="0" fillId="0" borderId="2" xfId="0" applyFont="1" applyFill="1" applyBorder="1" applyAlignment="1">
      <alignment horizontal="left" wrapText="1"/>
    </xf>
    <xf numFmtId="0" fontId="10" fillId="0" borderId="2" xfId="0" applyFont="1" applyFill="1" applyBorder="1" applyAlignment="1">
      <alignment horizontal="left" wrapText="1"/>
    </xf>
    <xf numFmtId="0" fontId="10" fillId="0" borderId="4" xfId="0" applyFont="1" applyFill="1" applyBorder="1" applyAlignment="1">
      <alignment horizontal="left" wrapText="1"/>
    </xf>
    <xf numFmtId="0" fontId="0" fillId="2" borderId="2" xfId="0" applyFont="1" applyFill="1" applyBorder="1" applyAlignment="1">
      <alignment/>
    </xf>
    <xf numFmtId="0" fontId="11" fillId="0" borderId="1" xfId="0" applyFont="1" applyFill="1" applyBorder="1" applyAlignment="1">
      <alignment horizontal="left" wrapText="1"/>
    </xf>
    <xf numFmtId="0" fontId="0" fillId="0" borderId="4" xfId="0" applyFont="1" applyFill="1" applyBorder="1" applyAlignment="1">
      <alignment horizontal="left" wrapText="1"/>
    </xf>
    <xf numFmtId="0" fontId="0" fillId="2" borderId="2" xfId="0" applyFont="1" applyFill="1" applyBorder="1" applyAlignment="1">
      <alignment horizontal="left" wrapText="1"/>
    </xf>
    <xf numFmtId="0" fontId="14" fillId="2" borderId="2" xfId="0" applyFont="1" applyFill="1" applyBorder="1" applyAlignment="1">
      <alignment horizontal="left" wrapText="1"/>
    </xf>
    <xf numFmtId="0" fontId="11" fillId="0" borderId="2" xfId="0" applyFont="1" applyFill="1" applyBorder="1" applyAlignment="1">
      <alignment horizontal="left" wrapText="1"/>
    </xf>
    <xf numFmtId="0" fontId="15" fillId="0" borderId="0" xfId="0" applyFont="1" applyFill="1" applyAlignment="1">
      <alignment horizontal="left" wrapText="1"/>
    </xf>
    <xf numFmtId="0" fontId="15" fillId="0" borderId="0" xfId="0" applyFont="1" applyFill="1" applyAlignment="1">
      <alignment/>
    </xf>
    <xf numFmtId="0" fontId="15" fillId="0" borderId="0" xfId="0" applyFont="1" applyFill="1" applyAlignment="1">
      <alignment vertical="center"/>
    </xf>
    <xf numFmtId="0" fontId="16" fillId="0" borderId="0" xfId="0" applyFont="1" applyFill="1" applyAlignment="1" applyProtection="1">
      <alignment vertical="center"/>
      <protection/>
    </xf>
    <xf numFmtId="0" fontId="16" fillId="0" borderId="0" xfId="0" applyFont="1" applyFill="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17" fillId="0" borderId="0" xfId="0" applyFont="1" applyFill="1" applyAlignment="1" applyProtection="1">
      <alignment horizontal="left" vertical="center" wrapText="1"/>
      <protection/>
    </xf>
    <xf numFmtId="0" fontId="17" fillId="0" borderId="0" xfId="0" applyFont="1" applyFill="1" applyAlignment="1" applyProtection="1">
      <alignment horizontal="center" vertical="center"/>
      <protection/>
    </xf>
    <xf numFmtId="0" fontId="8" fillId="0" borderId="5" xfId="0" applyFont="1" applyBorder="1" applyAlignment="1" applyProtection="1">
      <alignment horizontal="right" vertical="center"/>
      <protection/>
    </xf>
    <xf numFmtId="0" fontId="18" fillId="0" borderId="6" xfId="0" applyFont="1" applyFill="1" applyBorder="1" applyAlignment="1" applyProtection="1">
      <alignment horizontal="left" vertical="center" textRotation="45"/>
      <protection/>
    </xf>
    <xf numFmtId="0" fontId="18" fillId="3" borderId="6" xfId="0" applyFont="1" applyFill="1" applyBorder="1" applyAlignment="1" applyProtection="1">
      <alignment vertical="center" textRotation="45"/>
      <protection/>
    </xf>
    <xf numFmtId="0" fontId="18" fillId="0" borderId="7" xfId="0" applyFont="1" applyFill="1" applyBorder="1" applyAlignment="1" applyProtection="1">
      <alignment vertical="center" textRotation="45"/>
      <protection/>
    </xf>
    <xf numFmtId="0" fontId="18" fillId="4" borderId="6" xfId="0" applyFont="1" applyFill="1" applyBorder="1" applyAlignment="1" applyProtection="1">
      <alignment vertical="center" textRotation="45"/>
      <protection/>
    </xf>
    <xf numFmtId="0" fontId="18" fillId="4" borderId="7" xfId="0" applyFont="1" applyFill="1" applyBorder="1" applyAlignment="1" applyProtection="1">
      <alignment vertical="center" textRotation="45"/>
      <protection/>
    </xf>
    <xf numFmtId="0" fontId="17" fillId="0" borderId="0" xfId="0" applyFont="1" applyFill="1" applyAlignment="1" applyProtection="1">
      <alignment horizontal="left" vertical="center"/>
      <protection/>
    </xf>
    <xf numFmtId="0" fontId="20" fillId="0" borderId="0" xfId="0" applyFont="1" applyBorder="1" applyAlignment="1" applyProtection="1">
      <alignment horizontal="center" vertical="center"/>
      <protection/>
    </xf>
    <xf numFmtId="0" fontId="8" fillId="0" borderId="7" xfId="0" applyFont="1" applyBorder="1" applyAlignment="1" applyProtection="1">
      <alignment horizontal="right" vertical="center"/>
      <protection/>
    </xf>
    <xf numFmtId="0" fontId="18" fillId="0" borderId="7" xfId="0" applyFont="1" applyFill="1" applyBorder="1" applyAlignment="1" applyProtection="1">
      <alignment horizontal="center" vertical="center"/>
      <protection/>
    </xf>
    <xf numFmtId="0" fontId="22" fillId="0" borderId="0" xfId="0" applyFont="1" applyFill="1" applyAlignment="1" applyProtection="1">
      <alignment horizontal="left" vertical="center"/>
      <protection/>
    </xf>
    <xf numFmtId="0" fontId="16" fillId="0" borderId="0" xfId="0" applyFont="1" applyFill="1" applyAlignment="1" applyProtection="1">
      <alignment horizontal="right" vertical="center"/>
      <protection/>
    </xf>
    <xf numFmtId="0" fontId="8" fillId="0" borderId="7" xfId="0" applyFont="1" applyBorder="1" applyAlignment="1" applyProtection="1">
      <alignment horizontal="center" vertical="center"/>
      <protection/>
    </xf>
    <xf numFmtId="0" fontId="19" fillId="0" borderId="8" xfId="0" applyFont="1" applyFill="1" applyBorder="1" applyAlignment="1" applyProtection="1">
      <alignment horizontal="center" vertical="center"/>
      <protection/>
    </xf>
    <xf numFmtId="0" fontId="19" fillId="0" borderId="6" xfId="0" applyFont="1" applyFill="1" applyBorder="1" applyAlignment="1" applyProtection="1">
      <alignment horizontal="center" vertical="center"/>
      <protection/>
    </xf>
    <xf numFmtId="0" fontId="24" fillId="5" borderId="7" xfId="0" applyFont="1" applyFill="1" applyBorder="1" applyAlignment="1" applyProtection="1">
      <alignment horizontal="center" vertical="center"/>
      <protection/>
    </xf>
    <xf numFmtId="0" fontId="19" fillId="5" borderId="9" xfId="0" applyFont="1" applyFill="1" applyBorder="1" applyAlignment="1" applyProtection="1">
      <alignment vertical="center"/>
      <protection/>
    </xf>
    <xf numFmtId="0" fontId="19" fillId="5" borderId="7" xfId="0" applyFont="1" applyFill="1" applyBorder="1" applyAlignment="1" applyProtection="1">
      <alignment vertical="center"/>
      <protection/>
    </xf>
    <xf numFmtId="0" fontId="18" fillId="5" borderId="7" xfId="0" applyFont="1" applyFill="1" applyBorder="1" applyAlignment="1" applyProtection="1">
      <alignment horizontal="center" vertical="center"/>
      <protection/>
    </xf>
    <xf numFmtId="0" fontId="25" fillId="5" borderId="10" xfId="0" applyFont="1" applyFill="1" applyBorder="1" applyAlignment="1" applyProtection="1">
      <alignment horizontal="center" vertical="center"/>
      <protection/>
    </xf>
    <xf numFmtId="0" fontId="26" fillId="5" borderId="10" xfId="0" applyFont="1" applyFill="1" applyBorder="1" applyAlignment="1" applyProtection="1">
      <alignment horizontal="center" vertical="center"/>
      <protection locked="0"/>
    </xf>
    <xf numFmtId="0" fontId="27" fillId="5" borderId="11" xfId="0" applyFont="1" applyFill="1" applyBorder="1" applyAlignment="1" applyProtection="1">
      <alignment horizontal="left" vertical="center"/>
      <protection locked="0"/>
    </xf>
    <xf numFmtId="0" fontId="26" fillId="5" borderId="9" xfId="0" applyFont="1" applyFill="1" applyBorder="1" applyAlignment="1" applyProtection="1">
      <alignment horizontal="center" vertical="center"/>
      <protection locked="0"/>
    </xf>
    <xf numFmtId="0" fontId="25" fillId="0" borderId="0" xfId="0" applyFont="1" applyFill="1" applyAlignment="1" applyProtection="1">
      <alignment vertical="center"/>
      <protection/>
    </xf>
    <xf numFmtId="0" fontId="25" fillId="5" borderId="0" xfId="0" applyFont="1" applyFill="1" applyAlignment="1" applyProtection="1">
      <alignment vertical="center"/>
      <protection/>
    </xf>
    <xf numFmtId="0" fontId="16" fillId="0" borderId="12" xfId="0" applyFont="1" applyFill="1" applyBorder="1" applyAlignment="1" applyProtection="1">
      <alignment vertical="center"/>
      <protection/>
    </xf>
    <xf numFmtId="20" fontId="16" fillId="0" borderId="13" xfId="0" applyNumberFormat="1" applyFont="1" applyFill="1" applyBorder="1" applyAlignment="1" applyProtection="1">
      <alignment vertical="center"/>
      <protection/>
    </xf>
    <xf numFmtId="0" fontId="18" fillId="0" borderId="14" xfId="0" applyFont="1" applyFill="1" applyBorder="1" applyAlignment="1" applyProtection="1">
      <alignment horizontal="center" vertical="center"/>
      <protection/>
    </xf>
    <xf numFmtId="0" fontId="21" fillId="0" borderId="7" xfId="0" applyFont="1" applyFill="1" applyBorder="1" applyAlignment="1" applyProtection="1">
      <alignment horizontal="center" vertical="center"/>
      <protection/>
    </xf>
    <xf numFmtId="0" fontId="28" fillId="0" borderId="15" xfId="0" applyFont="1" applyFill="1" applyBorder="1" applyAlignment="1" applyProtection="1">
      <alignment horizontal="center" vertical="center"/>
      <protection locked="0"/>
    </xf>
    <xf numFmtId="0" fontId="0" fillId="0" borderId="5" xfId="0" applyFill="1" applyBorder="1" applyAlignment="1">
      <alignment vertical="center"/>
    </xf>
    <xf numFmtId="20" fontId="0" fillId="0" borderId="15" xfId="0" applyNumberFormat="1" applyFill="1" applyBorder="1" applyAlignment="1">
      <alignment vertical="center"/>
    </xf>
    <xf numFmtId="0" fontId="16" fillId="5" borderId="0" xfId="0" applyFont="1" applyFill="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0" borderId="0" xfId="0" applyFill="1" applyAlignment="1" applyProtection="1">
      <alignment vertical="center"/>
      <protection/>
    </xf>
    <xf numFmtId="0" fontId="31" fillId="0" borderId="7" xfId="0" applyFont="1" applyFill="1" applyBorder="1" applyAlignment="1" applyProtection="1">
      <alignment horizontal="center" vertical="center" wrapText="1"/>
      <protection/>
    </xf>
    <xf numFmtId="0" fontId="16" fillId="5" borderId="10" xfId="0" applyFont="1" applyFill="1" applyBorder="1" applyAlignment="1" applyProtection="1">
      <alignment horizontal="center" vertical="center"/>
      <protection/>
    </xf>
    <xf numFmtId="0" fontId="28" fillId="5" borderId="11" xfId="0" applyFont="1" applyFill="1" applyBorder="1" applyAlignment="1" applyProtection="1">
      <alignment horizontal="center" vertical="center"/>
      <protection locked="0"/>
    </xf>
    <xf numFmtId="0" fontId="28" fillId="5" borderId="9" xfId="0" applyFont="1" applyFill="1" applyBorder="1" applyAlignment="1" applyProtection="1">
      <alignment horizontal="center" vertical="center"/>
      <protection locked="0"/>
    </xf>
    <xf numFmtId="0" fontId="16" fillId="0" borderId="13" xfId="0" applyFont="1" applyFill="1" applyBorder="1" applyAlignment="1" applyProtection="1">
      <alignment vertical="center"/>
      <protection/>
    </xf>
    <xf numFmtId="0" fontId="18" fillId="0" borderId="16" xfId="0" applyFont="1" applyFill="1" applyBorder="1" applyAlignment="1" applyProtection="1">
      <alignment horizontal="center" vertical="center"/>
      <protection/>
    </xf>
    <xf numFmtId="0" fontId="16" fillId="0" borderId="7" xfId="0" applyFont="1" applyFill="1" applyBorder="1" applyAlignment="1" applyProtection="1">
      <alignment horizontal="center" vertical="center"/>
      <protection/>
    </xf>
    <xf numFmtId="0" fontId="28" fillId="0" borderId="7" xfId="0" applyFont="1" applyFill="1" applyBorder="1" applyAlignment="1" applyProtection="1">
      <alignment horizontal="center" vertical="center"/>
      <protection locked="0"/>
    </xf>
    <xf numFmtId="0" fontId="0" fillId="0" borderId="15" xfId="0" applyFill="1" applyBorder="1" applyAlignment="1">
      <alignment vertical="center"/>
    </xf>
    <xf numFmtId="0" fontId="19" fillId="0" borderId="17" xfId="0" applyFont="1" applyFill="1" applyBorder="1" applyAlignment="1" applyProtection="1">
      <alignment horizontal="center" vertical="center"/>
      <protection/>
    </xf>
    <xf numFmtId="0" fontId="0" fillId="0" borderId="0" xfId="0" applyFill="1" applyBorder="1" applyAlignment="1">
      <alignment vertical="center"/>
    </xf>
    <xf numFmtId="0" fontId="19" fillId="0" borderId="0"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protection/>
    </xf>
    <xf numFmtId="0" fontId="28"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vertical="center"/>
      <protection/>
    </xf>
    <xf numFmtId="0" fontId="0" fillId="0" borderId="0" xfId="0" applyAlignment="1">
      <alignment horizontal="center"/>
    </xf>
    <xf numFmtId="0" fontId="0" fillId="0" borderId="0" xfId="0" applyAlignment="1">
      <alignment wrapText="1"/>
    </xf>
    <xf numFmtId="17" fontId="0" fillId="0" borderId="0" xfId="0" applyNumberFormat="1" applyAlignment="1">
      <alignment horizontal="center"/>
    </xf>
    <xf numFmtId="14" fontId="0" fillId="0" borderId="0" xfId="0" applyNumberFormat="1" applyAlignment="1">
      <alignment horizontal="center"/>
    </xf>
    <xf numFmtId="0" fontId="18" fillId="6" borderId="7" xfId="0" applyFont="1" applyFill="1" applyBorder="1" applyAlignment="1" applyProtection="1">
      <alignment vertical="center" textRotation="45"/>
      <protection/>
    </xf>
    <xf numFmtId="0" fontId="18" fillId="0" borderId="7" xfId="0" applyFont="1" applyFill="1" applyBorder="1" applyAlignment="1" applyProtection="1">
      <alignment vertical="center" textRotation="45" wrapText="1"/>
      <protection/>
    </xf>
    <xf numFmtId="0" fontId="18" fillId="5" borderId="7" xfId="0" applyFont="1" applyFill="1" applyBorder="1" applyAlignment="1" applyProtection="1">
      <alignment vertical="center" textRotation="45"/>
      <protection/>
    </xf>
    <xf numFmtId="0" fontId="0" fillId="0" borderId="0" xfId="0" applyAlignment="1">
      <alignment horizontal="center" wrapText="1"/>
    </xf>
    <xf numFmtId="0" fontId="33" fillId="0" borderId="0" xfId="0" applyFont="1" applyAlignment="1">
      <alignment horizontal="left"/>
    </xf>
    <xf numFmtId="0" fontId="10" fillId="0" borderId="0" xfId="0" applyFont="1" applyAlignment="1">
      <alignment horizontal="center"/>
    </xf>
    <xf numFmtId="0" fontId="10" fillId="0" borderId="0" xfId="0" applyFont="1" applyAlignment="1">
      <alignment wrapText="1"/>
    </xf>
    <xf numFmtId="0" fontId="34" fillId="0" borderId="0" xfId="0" applyFont="1" applyAlignment="1" applyProtection="1">
      <alignment horizontal="center" vertical="center"/>
      <protection/>
    </xf>
    <xf numFmtId="0" fontId="34" fillId="0" borderId="0" xfId="0" applyFont="1" applyAlignment="1" applyProtection="1">
      <alignment vertical="center"/>
      <protection/>
    </xf>
    <xf numFmtId="0" fontId="34" fillId="0" borderId="0" xfId="0" applyFont="1" applyFill="1" applyAlignment="1" applyProtection="1">
      <alignment vertical="center"/>
      <protection/>
    </xf>
    <xf numFmtId="0" fontId="37" fillId="0" borderId="18" xfId="0" applyFont="1" applyFill="1" applyBorder="1" applyAlignment="1" applyProtection="1">
      <alignment horizontal="center" vertical="center"/>
      <protection/>
    </xf>
    <xf numFmtId="0" fontId="34" fillId="0" borderId="0" xfId="0" applyFont="1" applyAlignment="1" applyProtection="1">
      <alignment horizontal="left" vertical="center"/>
      <protection/>
    </xf>
    <xf numFmtId="0" fontId="36" fillId="0" borderId="0" xfId="21" applyFont="1" applyFill="1" applyBorder="1" applyAlignment="1">
      <alignment horizontal="center" wrapText="1"/>
      <protection/>
    </xf>
    <xf numFmtId="0" fontId="35" fillId="0" borderId="0" xfId="21" applyFont="1" applyFill="1" applyBorder="1" applyAlignment="1">
      <alignment horizontal="left" wrapText="1"/>
      <protection/>
    </xf>
    <xf numFmtId="2" fontId="0" fillId="0" borderId="0" xfId="0" applyNumberFormat="1" applyAlignment="1" applyProtection="1">
      <alignment vertical="center"/>
      <protection/>
    </xf>
    <xf numFmtId="0" fontId="34" fillId="0" borderId="19" xfId="0" applyFont="1" applyBorder="1" applyAlignment="1" applyProtection="1">
      <alignment horizontal="center" vertical="center"/>
      <protection/>
    </xf>
    <xf numFmtId="0" fontId="36" fillId="0" borderId="19" xfId="21" applyFont="1" applyFill="1" applyBorder="1" applyAlignment="1">
      <alignment horizontal="center" wrapText="1"/>
      <protection/>
    </xf>
    <xf numFmtId="0" fontId="35" fillId="0" borderId="19" xfId="21" applyFont="1" applyFill="1" applyBorder="1" applyAlignment="1">
      <alignment horizontal="center" wrapText="1"/>
      <protection/>
    </xf>
    <xf numFmtId="0" fontId="34" fillId="0" borderId="19" xfId="0" applyFont="1" applyBorder="1" applyAlignment="1" applyProtection="1">
      <alignment vertical="center"/>
      <protection/>
    </xf>
    <xf numFmtId="0" fontId="34" fillId="0" borderId="20" xfId="0" applyFont="1" applyBorder="1" applyAlignment="1" applyProtection="1">
      <alignment horizontal="center" vertical="center"/>
      <protection/>
    </xf>
    <xf numFmtId="0" fontId="34" fillId="0" borderId="21" xfId="0" applyFont="1" applyBorder="1" applyAlignment="1" applyProtection="1">
      <alignment vertical="center"/>
      <protection/>
    </xf>
    <xf numFmtId="0" fontId="34" fillId="0" borderId="22" xfId="0" applyFont="1" applyBorder="1" applyAlignment="1" applyProtection="1">
      <alignment horizontal="center" vertical="center"/>
      <protection/>
    </xf>
    <xf numFmtId="0" fontId="34" fillId="0" borderId="23" xfId="0" applyFont="1" applyBorder="1" applyAlignment="1" applyProtection="1">
      <alignment horizontal="center" vertical="center"/>
      <protection/>
    </xf>
    <xf numFmtId="0" fontId="36" fillId="0" borderId="23" xfId="21" applyFont="1" applyFill="1" applyBorder="1" applyAlignment="1">
      <alignment horizontal="center" wrapText="1"/>
      <protection/>
    </xf>
    <xf numFmtId="0" fontId="35" fillId="0" borderId="23" xfId="21" applyFont="1" applyFill="1" applyBorder="1" applyAlignment="1">
      <alignment horizontal="center" wrapText="1"/>
      <protection/>
    </xf>
    <xf numFmtId="0" fontId="34" fillId="0" borderId="23" xfId="0" applyFont="1" applyBorder="1" applyAlignment="1" applyProtection="1">
      <alignment vertical="center"/>
      <protection/>
    </xf>
    <xf numFmtId="0" fontId="34" fillId="0" borderId="24" xfId="0" applyFont="1" applyBorder="1" applyAlignment="1" applyProtection="1">
      <alignment vertical="center"/>
      <protection/>
    </xf>
    <xf numFmtId="0" fontId="34" fillId="0" borderId="25" xfId="0" applyFont="1" applyBorder="1" applyAlignment="1" applyProtection="1">
      <alignment horizontal="center" vertical="center"/>
      <protection/>
    </xf>
    <xf numFmtId="0" fontId="0" fillId="7" borderId="26" xfId="0" applyFont="1" applyFill="1" applyBorder="1" applyAlignment="1" applyProtection="1">
      <alignment horizontal="center" vertical="center"/>
      <protection/>
    </xf>
    <xf numFmtId="0" fontId="34" fillId="7" borderId="27" xfId="0" applyFont="1" applyFill="1" applyBorder="1" applyAlignment="1" applyProtection="1">
      <alignment horizontal="center" vertical="center"/>
      <protection/>
    </xf>
    <xf numFmtId="0" fontId="40" fillId="7" borderId="27" xfId="21" applyFont="1" applyFill="1" applyBorder="1" applyAlignment="1">
      <alignment horizontal="center" vertical="center"/>
      <protection/>
    </xf>
    <xf numFmtId="0" fontId="33" fillId="7" borderId="27" xfId="0" applyFont="1" applyFill="1" applyBorder="1" applyAlignment="1" applyProtection="1">
      <alignment horizontal="center" vertical="center" wrapText="1"/>
      <protection/>
    </xf>
    <xf numFmtId="0" fontId="9" fillId="7" borderId="27" xfId="0" applyFont="1" applyFill="1" applyBorder="1" applyAlignment="1" applyProtection="1">
      <alignment horizontal="center" vertical="center" wrapText="1"/>
      <protection/>
    </xf>
    <xf numFmtId="0" fontId="9" fillId="7" borderId="28" xfId="0" applyFont="1" applyFill="1" applyBorder="1" applyAlignment="1" applyProtection="1">
      <alignment horizontal="center" vertical="center" wrapText="1"/>
      <protection/>
    </xf>
    <xf numFmtId="0" fontId="34" fillId="0" borderId="29" xfId="0" applyFont="1" applyBorder="1" applyAlignment="1" applyProtection="1">
      <alignment horizontal="center" vertical="center"/>
      <protection/>
    </xf>
    <xf numFmtId="0" fontId="35" fillId="0" borderId="25" xfId="21" applyFont="1" applyFill="1" applyBorder="1" applyAlignment="1">
      <alignment horizontal="center" wrapText="1"/>
      <protection/>
    </xf>
    <xf numFmtId="0" fontId="34" fillId="0" borderId="25" xfId="0" applyFont="1" applyBorder="1" applyAlignment="1" applyProtection="1">
      <alignment vertical="center"/>
      <protection/>
    </xf>
    <xf numFmtId="0" fontId="34" fillId="0" borderId="30" xfId="0" applyFont="1" applyBorder="1" applyAlignment="1" applyProtection="1">
      <alignment vertical="center"/>
      <protection/>
    </xf>
    <xf numFmtId="0" fontId="0" fillId="0" borderId="31" xfId="0" applyFont="1" applyBorder="1" applyAlignment="1" applyProtection="1">
      <alignment horizontal="center" vertical="center"/>
      <protection/>
    </xf>
    <xf numFmtId="0" fontId="34" fillId="0" borderId="32" xfId="0" applyFont="1" applyBorder="1" applyAlignment="1" applyProtection="1">
      <alignment horizontal="center" vertical="center"/>
      <protection/>
    </xf>
    <xf numFmtId="0" fontId="36" fillId="8" borderId="32" xfId="21" applyFont="1" applyFill="1" applyBorder="1" applyAlignment="1">
      <alignment horizontal="center"/>
      <protection/>
    </xf>
    <xf numFmtId="0" fontId="35" fillId="0" borderId="32" xfId="21" applyFont="1" applyFill="1" applyBorder="1" applyAlignment="1">
      <alignment horizontal="center"/>
      <protection/>
    </xf>
    <xf numFmtId="0" fontId="34" fillId="8" borderId="32" xfId="0" applyFont="1" applyFill="1" applyBorder="1" applyAlignment="1" applyProtection="1">
      <alignment vertical="center"/>
      <protection/>
    </xf>
    <xf numFmtId="0" fontId="34" fillId="8" borderId="33" xfId="0" applyFont="1" applyFill="1" applyBorder="1" applyAlignment="1" applyProtection="1">
      <alignment vertical="center"/>
      <protection/>
    </xf>
    <xf numFmtId="0" fontId="0" fillId="0" borderId="22" xfId="0" applyFont="1" applyBorder="1" applyAlignment="1" applyProtection="1">
      <alignment horizontal="center" vertical="center"/>
      <protection/>
    </xf>
    <xf numFmtId="0" fontId="36" fillId="4" borderId="23" xfId="21" applyFont="1" applyFill="1" applyBorder="1" applyAlignment="1">
      <alignment horizontal="center"/>
      <protection/>
    </xf>
    <xf numFmtId="0" fontId="35" fillId="0" borderId="23" xfId="21" applyFont="1" applyFill="1" applyBorder="1" applyAlignment="1">
      <alignment horizontal="center"/>
      <protection/>
    </xf>
    <xf numFmtId="0" fontId="34" fillId="4" borderId="23" xfId="0" applyFont="1" applyFill="1" applyBorder="1" applyAlignment="1" applyProtection="1">
      <alignment vertical="center"/>
      <protection/>
    </xf>
    <xf numFmtId="0" fontId="34" fillId="4" borderId="24" xfId="0" applyFont="1" applyFill="1" applyBorder="1" applyAlignment="1" applyProtection="1">
      <alignment vertical="center"/>
      <protection/>
    </xf>
    <xf numFmtId="0" fontId="0" fillId="0" borderId="26" xfId="0" applyFont="1" applyBorder="1" applyAlignment="1" applyProtection="1">
      <alignment horizontal="center" vertical="center"/>
      <protection/>
    </xf>
    <xf numFmtId="0" fontId="34" fillId="0" borderId="27" xfId="0" applyFont="1" applyBorder="1" applyAlignment="1" applyProtection="1">
      <alignment horizontal="center" vertical="center"/>
      <protection/>
    </xf>
    <xf numFmtId="0" fontId="35" fillId="0" borderId="27" xfId="21" applyFont="1" applyFill="1" applyBorder="1" applyAlignment="1">
      <alignment horizontal="center"/>
      <protection/>
    </xf>
    <xf numFmtId="0" fontId="35" fillId="0" borderId="28" xfId="21" applyFont="1" applyFill="1" applyBorder="1" applyAlignment="1">
      <alignment horizontal="center"/>
      <protection/>
    </xf>
    <xf numFmtId="0" fontId="41" fillId="7" borderId="27" xfId="21" applyFont="1" applyFill="1" applyBorder="1" applyAlignment="1">
      <alignment horizontal="left" vertical="center"/>
      <protection/>
    </xf>
    <xf numFmtId="0" fontId="16" fillId="0" borderId="34" xfId="0" applyFont="1" applyFill="1" applyBorder="1" applyAlignment="1" applyProtection="1">
      <alignment horizontal="center" vertical="center"/>
      <protection/>
    </xf>
    <xf numFmtId="0" fontId="43" fillId="0" borderId="35" xfId="0" applyFont="1" applyFill="1" applyBorder="1" applyAlignment="1" applyProtection="1">
      <alignment horizontal="center" vertical="center"/>
      <protection/>
    </xf>
    <xf numFmtId="0" fontId="22" fillId="0" borderId="7" xfId="0" applyFont="1" applyFill="1" applyBorder="1" applyAlignment="1" applyProtection="1">
      <alignment horizontal="center" vertical="center"/>
      <protection/>
    </xf>
    <xf numFmtId="0" fontId="42" fillId="5" borderId="10" xfId="0" applyFont="1" applyFill="1" applyBorder="1" applyAlignment="1" applyProtection="1">
      <alignment horizontal="center" vertical="center"/>
      <protection/>
    </xf>
    <xf numFmtId="0" fontId="44" fillId="0" borderId="0" xfId="0" applyFont="1" applyAlignment="1">
      <alignment horizontal="center"/>
    </xf>
    <xf numFmtId="0" fontId="36" fillId="0" borderId="19" xfId="21" applyFont="1" applyFill="1" applyBorder="1" applyAlignment="1">
      <alignment horizontal="center" wrapText="1"/>
      <protection/>
    </xf>
    <xf numFmtId="0" fontId="36" fillId="0" borderId="25" xfId="21" applyFont="1" applyFill="1" applyBorder="1" applyAlignment="1">
      <alignment horizontal="center" wrapText="1"/>
      <protection/>
    </xf>
    <xf numFmtId="0" fontId="18" fillId="0" borderId="9" xfId="0" applyFont="1" applyFill="1" applyBorder="1" applyAlignment="1" applyProtection="1">
      <alignment horizontal="center" vertical="center"/>
      <protection/>
    </xf>
    <xf numFmtId="0" fontId="36" fillId="0" borderId="25" xfId="21" applyFont="1" applyFill="1" applyBorder="1" applyAlignment="1">
      <alignment horizontal="center" vertical="center" wrapText="1"/>
      <protection/>
    </xf>
    <xf numFmtId="0" fontId="18" fillId="5" borderId="9" xfId="0" applyFont="1" applyFill="1" applyBorder="1" applyAlignment="1" applyProtection="1">
      <alignment horizontal="center" vertical="center"/>
      <protection/>
    </xf>
    <xf numFmtId="0" fontId="45" fillId="0" borderId="5" xfId="0" applyFont="1" applyFill="1" applyBorder="1" applyAlignment="1">
      <alignment horizontal="center" vertical="center"/>
    </xf>
    <xf numFmtId="0" fontId="17" fillId="0" borderId="7" xfId="0" applyFont="1" applyFill="1" applyBorder="1" applyAlignment="1" applyProtection="1">
      <alignment horizontal="center" vertical="center"/>
      <protection/>
    </xf>
    <xf numFmtId="0" fontId="17" fillId="0" borderId="0" xfId="0" applyFont="1" applyFill="1" applyAlignment="1" applyProtection="1">
      <alignment horizontal="left"/>
      <protection/>
    </xf>
    <xf numFmtId="0" fontId="34" fillId="0" borderId="0" xfId="0" applyFont="1" applyAlignment="1">
      <alignment/>
    </xf>
    <xf numFmtId="0" fontId="0" fillId="0" borderId="19" xfId="0" applyBorder="1" applyAlignment="1">
      <alignment horizontal="center"/>
    </xf>
    <xf numFmtId="0" fontId="0" fillId="9" borderId="19" xfId="0" applyFill="1" applyBorder="1" applyAlignment="1">
      <alignment horizontal="center"/>
    </xf>
    <xf numFmtId="0" fontId="0" fillId="10" borderId="19" xfId="0" applyFill="1" applyBorder="1" applyAlignment="1">
      <alignment horizontal="center"/>
    </xf>
    <xf numFmtId="0" fontId="13" fillId="0" borderId="33" xfId="0" applyFont="1" applyBorder="1" applyAlignment="1">
      <alignment horizontal="center"/>
    </xf>
    <xf numFmtId="0" fontId="0" fillId="11" borderId="19" xfId="0" applyFill="1" applyBorder="1" applyAlignment="1">
      <alignment horizontal="center"/>
    </xf>
    <xf numFmtId="0" fontId="0" fillId="0" borderId="19" xfId="0" applyFill="1" applyBorder="1" applyAlignment="1">
      <alignment horizontal="center"/>
    </xf>
    <xf numFmtId="0" fontId="0" fillId="0" borderId="31" xfId="0" applyBorder="1" applyAlignment="1">
      <alignment horizontal="center"/>
    </xf>
    <xf numFmtId="0" fontId="13" fillId="0" borderId="32" xfId="0" applyFont="1" applyBorder="1" applyAlignment="1">
      <alignment horizontal="center"/>
    </xf>
    <xf numFmtId="0" fontId="13" fillId="0" borderId="20" xfId="0" applyFont="1" applyBorder="1" applyAlignment="1">
      <alignment horizontal="center"/>
    </xf>
    <xf numFmtId="0" fontId="0" fillId="9" borderId="21" xfId="0" applyFill="1" applyBorder="1" applyAlignment="1">
      <alignment horizontal="center"/>
    </xf>
    <xf numFmtId="0" fontId="0" fillId="0" borderId="21" xfId="0" applyFill="1" applyBorder="1" applyAlignment="1">
      <alignment horizontal="center"/>
    </xf>
    <xf numFmtId="0" fontId="0" fillId="0" borderId="21" xfId="0" applyBorder="1" applyAlignment="1">
      <alignment horizontal="center"/>
    </xf>
    <xf numFmtId="0" fontId="0" fillId="10" borderId="21" xfId="0" applyFill="1" applyBorder="1" applyAlignment="1">
      <alignment horizontal="center"/>
    </xf>
    <xf numFmtId="0" fontId="13" fillId="0" borderId="22" xfId="0" applyFont="1" applyBorder="1" applyAlignment="1">
      <alignment horizontal="center"/>
    </xf>
    <xf numFmtId="0" fontId="0" fillId="9" borderId="23" xfId="0" applyFill="1" applyBorder="1" applyAlignment="1">
      <alignment horizontal="center"/>
    </xf>
    <xf numFmtId="0" fontId="0" fillId="0" borderId="23" xfId="0" applyBorder="1" applyAlignment="1">
      <alignment horizontal="center"/>
    </xf>
    <xf numFmtId="0" fontId="0" fillId="0" borderId="23" xfId="0" applyFill="1" applyBorder="1" applyAlignment="1">
      <alignment horizontal="center"/>
    </xf>
    <xf numFmtId="0" fontId="0" fillId="10" borderId="23" xfId="0" applyFill="1" applyBorder="1" applyAlignment="1">
      <alignment horizontal="center"/>
    </xf>
    <xf numFmtId="0" fontId="0" fillId="0" borderId="24"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20" xfId="0" applyBorder="1" applyAlignment="1">
      <alignment horizontal="center"/>
    </xf>
    <xf numFmtId="0" fontId="0" fillId="11" borderId="21" xfId="0" applyFill="1" applyBorder="1" applyAlignment="1">
      <alignment horizontal="center"/>
    </xf>
    <xf numFmtId="0" fontId="0" fillId="0" borderId="22" xfId="0" applyBorder="1" applyAlignment="1">
      <alignment horizontal="center"/>
    </xf>
    <xf numFmtId="0" fontId="0" fillId="11" borderId="23" xfId="0" applyFill="1" applyBorder="1" applyAlignment="1">
      <alignment horizontal="center"/>
    </xf>
    <xf numFmtId="0" fontId="0" fillId="0" borderId="29" xfId="0" applyBorder="1" applyAlignment="1">
      <alignment horizontal="center"/>
    </xf>
    <xf numFmtId="0" fontId="0" fillId="0" borderId="25" xfId="0" applyBorder="1" applyAlignment="1">
      <alignment horizontal="center"/>
    </xf>
    <xf numFmtId="0" fontId="0" fillId="0" borderId="30" xfId="0" applyBorder="1" applyAlignment="1">
      <alignment horizontal="center"/>
    </xf>
    <xf numFmtId="0" fontId="36" fillId="0" borderId="36" xfId="21" applyFont="1" applyFill="1" applyBorder="1" applyAlignment="1">
      <alignment horizontal="center" vertical="center" wrapText="1"/>
      <protection/>
    </xf>
    <xf numFmtId="0" fontId="40" fillId="7" borderId="28" xfId="21" applyFont="1" applyFill="1" applyBorder="1" applyAlignment="1">
      <alignment horizontal="center" vertical="center"/>
      <protection/>
    </xf>
    <xf numFmtId="0" fontId="35" fillId="0" borderId="30" xfId="21" applyFont="1" applyFill="1" applyBorder="1" applyAlignment="1">
      <alignment horizontal="center" vertical="center" wrapText="1"/>
      <protection/>
    </xf>
    <xf numFmtId="0" fontId="35" fillId="0" borderId="21" xfId="21" applyFont="1" applyFill="1" applyBorder="1" applyAlignment="1">
      <alignment horizontal="center" vertical="center" wrapText="1"/>
      <protection/>
    </xf>
    <xf numFmtId="0" fontId="35" fillId="0" borderId="24" xfId="21" applyFont="1" applyFill="1" applyBorder="1" applyAlignment="1">
      <alignment horizontal="center" vertical="center" wrapText="1"/>
      <protection/>
    </xf>
    <xf numFmtId="2" fontId="0" fillId="0" borderId="31" xfId="0" applyNumberFormat="1" applyBorder="1" applyAlignment="1">
      <alignment/>
    </xf>
    <xf numFmtId="2" fontId="0" fillId="0" borderId="20" xfId="0" applyNumberFormat="1" applyBorder="1" applyAlignment="1">
      <alignment/>
    </xf>
    <xf numFmtId="2" fontId="0" fillId="0" borderId="22" xfId="0" applyNumberFormat="1" applyBorder="1" applyAlignment="1">
      <alignment/>
    </xf>
    <xf numFmtId="0" fontId="41" fillId="7" borderId="27" xfId="21" applyFont="1" applyFill="1" applyBorder="1" applyAlignment="1">
      <alignment horizontal="center" vertical="center"/>
      <protection/>
    </xf>
    <xf numFmtId="0" fontId="10" fillId="7" borderId="26" xfId="0" applyFont="1" applyFill="1" applyBorder="1" applyAlignment="1">
      <alignment horizontal="center"/>
    </xf>
    <xf numFmtId="0" fontId="10" fillId="7" borderId="27" xfId="0" applyFont="1" applyFill="1" applyBorder="1" applyAlignment="1">
      <alignment horizontal="center"/>
    </xf>
    <xf numFmtId="0" fontId="10" fillId="7" borderId="28" xfId="0" applyFont="1" applyFill="1" applyBorder="1" applyAlignment="1">
      <alignment horizontal="center"/>
    </xf>
    <xf numFmtId="0" fontId="46" fillId="7" borderId="26" xfId="0" applyFont="1" applyFill="1" applyBorder="1" applyAlignment="1">
      <alignment horizontal="center" vertical="center" wrapText="1"/>
    </xf>
    <xf numFmtId="0" fontId="47" fillId="7" borderId="28" xfId="0" applyFont="1" applyFill="1" applyBorder="1" applyAlignment="1">
      <alignment horizontal="center"/>
    </xf>
    <xf numFmtId="20" fontId="43" fillId="0" borderId="7" xfId="0" applyNumberFormat="1" applyFont="1" applyFill="1" applyBorder="1" applyAlignment="1" applyProtection="1">
      <alignment vertical="center"/>
      <protection/>
    </xf>
    <xf numFmtId="0" fontId="0" fillId="0" borderId="0" xfId="0" applyAlignment="1">
      <alignment horizontal="left"/>
    </xf>
    <xf numFmtId="1" fontId="0" fillId="0" borderId="0" xfId="0" applyNumberFormat="1" applyAlignment="1">
      <alignment horizontal="center"/>
    </xf>
    <xf numFmtId="0" fontId="10" fillId="0" borderId="0" xfId="0" applyFont="1" applyAlignment="1">
      <alignment horizontal="left"/>
    </xf>
    <xf numFmtId="0" fontId="0" fillId="0" borderId="0" xfId="0" applyBorder="1" applyAlignment="1">
      <alignment horizontal="left"/>
    </xf>
    <xf numFmtId="1" fontId="9" fillId="0" borderId="37" xfId="0" applyNumberFormat="1" applyFont="1" applyBorder="1" applyAlignment="1">
      <alignment horizontal="right" vertical="center"/>
    </xf>
    <xf numFmtId="0" fontId="10" fillId="0" borderId="6" xfId="0" applyFont="1" applyFill="1" applyBorder="1" applyAlignment="1">
      <alignment horizontal="center" textRotation="45" wrapText="1"/>
    </xf>
    <xf numFmtId="0" fontId="8" fillId="0" borderId="0" xfId="0" applyFont="1" applyAlignment="1">
      <alignment/>
    </xf>
    <xf numFmtId="0" fontId="9" fillId="0" borderId="15" xfId="0" applyFont="1" applyBorder="1" applyAlignment="1">
      <alignment horizontal="center" vertical="center"/>
    </xf>
    <xf numFmtId="1" fontId="50" fillId="12" borderId="25" xfId="0" applyNumberFormat="1" applyFont="1" applyFill="1" applyBorder="1" applyAlignment="1" applyProtection="1">
      <alignment horizontal="center"/>
      <protection locked="0"/>
    </xf>
    <xf numFmtId="1" fontId="10" fillId="13" borderId="25" xfId="0" applyNumberFormat="1" applyFont="1" applyFill="1" applyBorder="1" applyAlignment="1" applyProtection="1">
      <alignment horizontal="center"/>
      <protection locked="0"/>
    </xf>
    <xf numFmtId="1" fontId="50" fillId="14" borderId="25" xfId="0" applyNumberFormat="1" applyFont="1" applyFill="1" applyBorder="1" applyAlignment="1" applyProtection="1">
      <alignment horizontal="center"/>
      <protection locked="0"/>
    </xf>
    <xf numFmtId="1" fontId="10" fillId="8" borderId="25" xfId="0" applyNumberFormat="1" applyFont="1" applyFill="1" applyBorder="1" applyAlignment="1" applyProtection="1">
      <alignment horizontal="center"/>
      <protection locked="0"/>
    </xf>
    <xf numFmtId="1" fontId="50" fillId="15" borderId="25" xfId="0" applyNumberFormat="1" applyFont="1" applyFill="1" applyBorder="1" applyAlignment="1" applyProtection="1">
      <alignment horizontal="center"/>
      <protection locked="0"/>
    </xf>
    <xf numFmtId="1" fontId="50" fillId="16" borderId="25" xfId="0" applyNumberFormat="1" applyFont="1" applyFill="1" applyBorder="1" applyAlignment="1" applyProtection="1">
      <alignment horizontal="center"/>
      <protection locked="0"/>
    </xf>
    <xf numFmtId="1" fontId="50" fillId="17" borderId="38" xfId="0" applyNumberFormat="1" applyFont="1" applyFill="1" applyBorder="1" applyAlignment="1" applyProtection="1">
      <alignment horizontal="center"/>
      <protection locked="0"/>
    </xf>
    <xf numFmtId="1" fontId="0" fillId="0" borderId="39" xfId="0" applyNumberFormat="1" applyBorder="1" applyAlignment="1">
      <alignment horizontal="center"/>
    </xf>
    <xf numFmtId="165" fontId="10" fillId="0" borderId="35" xfId="0" applyNumberFormat="1" applyFont="1" applyBorder="1" applyAlignment="1">
      <alignment horizontal="center"/>
    </xf>
    <xf numFmtId="1" fontId="10" fillId="0" borderId="0" xfId="0" applyNumberFormat="1" applyFont="1" applyFill="1" applyBorder="1" applyAlignment="1">
      <alignment horizontal="center" vertical="center"/>
    </xf>
    <xf numFmtId="0" fontId="50" fillId="0" borderId="0" xfId="0" applyFont="1" applyFill="1" applyBorder="1" applyAlignment="1" applyProtection="1">
      <alignment horizontal="center"/>
      <protection locked="0"/>
    </xf>
    <xf numFmtId="1" fontId="10" fillId="0" borderId="0" xfId="0" applyNumberFormat="1" applyFont="1" applyFill="1" applyBorder="1" applyAlignment="1" applyProtection="1">
      <alignment horizontal="center"/>
      <protection locked="0"/>
    </xf>
    <xf numFmtId="1" fontId="10" fillId="0" borderId="0" xfId="0" applyNumberFormat="1" applyFont="1" applyFill="1" applyBorder="1" applyAlignment="1" applyProtection="1">
      <alignment horizontal="center"/>
      <protection locked="0"/>
    </xf>
    <xf numFmtId="1" fontId="50" fillId="0" borderId="0" xfId="0" applyNumberFormat="1" applyFont="1" applyFill="1" applyBorder="1" applyAlignment="1" applyProtection="1">
      <alignment horizontal="center"/>
      <protection locked="0"/>
    </xf>
    <xf numFmtId="1" fontId="0" fillId="0" borderId="0" xfId="0" applyNumberFormat="1" applyFill="1" applyBorder="1" applyAlignment="1">
      <alignment horizontal="center"/>
    </xf>
    <xf numFmtId="165" fontId="0" fillId="0" borderId="0" xfId="0" applyNumberFormat="1" applyFill="1" applyBorder="1" applyAlignment="1">
      <alignment horizontal="center"/>
    </xf>
    <xf numFmtId="165" fontId="10" fillId="0" borderId="0" xfId="0" applyNumberFormat="1" applyFont="1" applyFill="1" applyBorder="1" applyAlignment="1">
      <alignment horizontal="center"/>
    </xf>
    <xf numFmtId="0" fontId="10" fillId="0" borderId="0" xfId="0" applyFont="1" applyFill="1" applyBorder="1" applyAlignment="1">
      <alignment horizontal="left"/>
    </xf>
    <xf numFmtId="1" fontId="51" fillId="4" borderId="25" xfId="0" applyNumberFormat="1" applyFont="1" applyFill="1" applyBorder="1" applyAlignment="1" applyProtection="1">
      <alignment horizontal="center"/>
      <protection locked="0"/>
    </xf>
    <xf numFmtId="0" fontId="0" fillId="0" borderId="20" xfId="0" applyBorder="1" applyAlignment="1">
      <alignment/>
    </xf>
    <xf numFmtId="0" fontId="0" fillId="0" borderId="22" xfId="0" applyBorder="1" applyAlignment="1">
      <alignment/>
    </xf>
    <xf numFmtId="0" fontId="0" fillId="0" borderId="29" xfId="0" applyBorder="1" applyAlignment="1">
      <alignment/>
    </xf>
    <xf numFmtId="1" fontId="10" fillId="0" borderId="25" xfId="0" applyNumberFormat="1" applyFont="1" applyFill="1" applyBorder="1" applyAlignment="1" applyProtection="1">
      <alignment horizontal="center"/>
      <protection locked="0"/>
    </xf>
    <xf numFmtId="2" fontId="0" fillId="0" borderId="0" xfId="0" applyNumberFormat="1" applyAlignment="1">
      <alignment horizontal="center"/>
    </xf>
    <xf numFmtId="0" fontId="49" fillId="4" borderId="7" xfId="0" applyFont="1" applyFill="1" applyBorder="1" applyAlignment="1" applyProtection="1">
      <alignment horizontal="center" vertical="center" wrapText="1"/>
      <protection locked="0"/>
    </xf>
    <xf numFmtId="0" fontId="48" fillId="12" borderId="7" xfId="0" applyFont="1" applyFill="1" applyBorder="1" applyAlignment="1" applyProtection="1">
      <alignment horizontal="center" vertical="center" wrapText="1"/>
      <protection locked="0"/>
    </xf>
    <xf numFmtId="0" fontId="49" fillId="0" borderId="7" xfId="0" applyFont="1" applyFill="1" applyBorder="1" applyAlignment="1" applyProtection="1">
      <alignment horizontal="center" vertical="center" wrapText="1"/>
      <protection locked="0"/>
    </xf>
    <xf numFmtId="0" fontId="49" fillId="13" borderId="7" xfId="0" applyFont="1" applyFill="1" applyBorder="1" applyAlignment="1" applyProtection="1">
      <alignment horizontal="center" vertical="center" wrapText="1"/>
      <protection locked="0"/>
    </xf>
    <xf numFmtId="0" fontId="48" fillId="14" borderId="7" xfId="0" applyFont="1" applyFill="1" applyBorder="1" applyAlignment="1" applyProtection="1">
      <alignment horizontal="center" vertical="center" wrapText="1"/>
      <protection locked="0"/>
    </xf>
    <xf numFmtId="0" fontId="49" fillId="8" borderId="7" xfId="0" applyFont="1" applyFill="1" applyBorder="1" applyAlignment="1" applyProtection="1">
      <alignment horizontal="center" vertical="center" wrapText="1"/>
      <protection locked="0"/>
    </xf>
    <xf numFmtId="0" fontId="48" fillId="15" borderId="7" xfId="0" applyFont="1" applyFill="1" applyBorder="1" applyAlignment="1" applyProtection="1">
      <alignment horizontal="center" vertical="center" wrapText="1"/>
      <protection locked="0"/>
    </xf>
    <xf numFmtId="0" fontId="48" fillId="16" borderId="7" xfId="0" applyFont="1" applyFill="1" applyBorder="1" applyAlignment="1" applyProtection="1">
      <alignment horizontal="center" vertical="center" wrapText="1"/>
      <protection locked="0"/>
    </xf>
    <xf numFmtId="0" fontId="48" fillId="17" borderId="7" xfId="0" applyFont="1" applyFill="1" applyBorder="1" applyAlignment="1" applyProtection="1">
      <alignment horizontal="center" vertical="center" wrapText="1"/>
      <protection locked="0"/>
    </xf>
    <xf numFmtId="1" fontId="49" fillId="0" borderId="7" xfId="0" applyNumberFormat="1" applyFont="1" applyBorder="1" applyAlignment="1" applyProtection="1">
      <alignment horizontal="center" wrapText="1"/>
      <protection locked="0"/>
    </xf>
    <xf numFmtId="2" fontId="10" fillId="0" borderId="19" xfId="0" applyNumberFormat="1" applyFont="1" applyBorder="1" applyAlignment="1">
      <alignment horizontal="center"/>
    </xf>
    <xf numFmtId="0" fontId="10" fillId="0" borderId="20" xfId="0" applyFont="1" applyBorder="1" applyAlignment="1">
      <alignment horizontal="center"/>
    </xf>
    <xf numFmtId="1" fontId="10" fillId="0" borderId="21" xfId="0" applyNumberFormat="1" applyFont="1" applyBorder="1" applyAlignment="1">
      <alignment horizontal="center"/>
    </xf>
    <xf numFmtId="1" fontId="10" fillId="0" borderId="20" xfId="0" applyNumberFormat="1" applyFont="1" applyFill="1" applyBorder="1" applyAlignment="1">
      <alignment horizontal="center" vertical="center"/>
    </xf>
    <xf numFmtId="1" fontId="10" fillId="0" borderId="20" xfId="0" applyNumberFormat="1" applyFont="1" applyFill="1" applyBorder="1" applyAlignment="1">
      <alignment horizontal="center" vertical="center" wrapText="1"/>
    </xf>
    <xf numFmtId="0" fontId="10" fillId="0" borderId="22" xfId="0" applyFont="1" applyBorder="1" applyAlignment="1">
      <alignment horizontal="center"/>
    </xf>
    <xf numFmtId="2" fontId="10" fillId="0" borderId="23" xfId="0" applyNumberFormat="1" applyFont="1" applyBorder="1" applyAlignment="1">
      <alignment horizontal="center"/>
    </xf>
    <xf numFmtId="1" fontId="10" fillId="0" borderId="24" xfId="0" applyNumberFormat="1" applyFont="1" applyBorder="1" applyAlignment="1">
      <alignment horizontal="center"/>
    </xf>
    <xf numFmtId="0" fontId="10" fillId="0" borderId="26" xfId="0" applyFont="1" applyFill="1" applyBorder="1" applyAlignment="1">
      <alignment horizontal="center"/>
    </xf>
    <xf numFmtId="1" fontId="10" fillId="0" borderId="27" xfId="0" applyNumberFormat="1" applyFont="1" applyFill="1" applyBorder="1" applyAlignment="1" applyProtection="1">
      <alignment horizontal="center"/>
      <protection locked="0"/>
    </xf>
    <xf numFmtId="1" fontId="10" fillId="0" borderId="28" xfId="0" applyNumberFormat="1" applyFont="1" applyFill="1" applyBorder="1" applyAlignment="1" applyProtection="1">
      <alignment horizontal="center"/>
      <protection locked="0"/>
    </xf>
    <xf numFmtId="0" fontId="49" fillId="4" borderId="6" xfId="0" applyFont="1" applyFill="1" applyBorder="1" applyAlignment="1" applyProtection="1">
      <alignment horizontal="center" textRotation="45" wrapText="1"/>
      <protection locked="0"/>
    </xf>
    <xf numFmtId="0" fontId="48" fillId="12" borderId="6" xfId="0" applyFont="1" applyFill="1" applyBorder="1" applyAlignment="1" applyProtection="1">
      <alignment horizontal="center" textRotation="45" wrapText="1"/>
      <protection locked="0"/>
    </xf>
    <xf numFmtId="0" fontId="49" fillId="0" borderId="6" xfId="0" applyFont="1" applyFill="1" applyBorder="1" applyAlignment="1" applyProtection="1">
      <alignment horizontal="center" textRotation="45" wrapText="1"/>
      <protection locked="0"/>
    </xf>
    <xf numFmtId="0" fontId="49" fillId="13" borderId="6" xfId="0" applyFont="1" applyFill="1" applyBorder="1" applyAlignment="1" applyProtection="1">
      <alignment horizontal="center" textRotation="45" wrapText="1"/>
      <protection locked="0"/>
    </xf>
    <xf numFmtId="0" fontId="48" fillId="14" borderId="6" xfId="0" applyFont="1" applyFill="1" applyBorder="1" applyAlignment="1" applyProtection="1">
      <alignment horizontal="center" textRotation="45" wrapText="1"/>
      <protection locked="0"/>
    </xf>
    <xf numFmtId="0" fontId="49" fillId="8" borderId="6" xfId="0" applyFont="1" applyFill="1" applyBorder="1" applyAlignment="1" applyProtection="1">
      <alignment horizontal="center" textRotation="45" wrapText="1"/>
      <protection locked="0"/>
    </xf>
    <xf numFmtId="0" fontId="48" fillId="15" borderId="6" xfId="0" applyFont="1" applyFill="1" applyBorder="1" applyAlignment="1" applyProtection="1">
      <alignment horizontal="center" textRotation="45" wrapText="1"/>
      <protection locked="0"/>
    </xf>
    <xf numFmtId="0" fontId="48" fillId="16" borderId="6" xfId="0" applyFont="1" applyFill="1" applyBorder="1" applyAlignment="1" applyProtection="1">
      <alignment horizontal="center" textRotation="45" wrapText="1"/>
      <protection locked="0"/>
    </xf>
    <xf numFmtId="0" fontId="48" fillId="17" borderId="6" xfId="0" applyFont="1" applyFill="1" applyBorder="1" applyAlignment="1" applyProtection="1">
      <alignment horizontal="center" textRotation="45" wrapText="1"/>
      <protection locked="0"/>
    </xf>
    <xf numFmtId="1" fontId="49" fillId="0" borderId="6" xfId="0" applyNumberFormat="1" applyFont="1" applyFill="1" applyBorder="1" applyAlignment="1">
      <alignment horizontal="center" textRotation="45" wrapText="1"/>
    </xf>
    <xf numFmtId="1" fontId="9" fillId="0" borderId="7" xfId="0" applyNumberFormat="1" applyFont="1" applyBorder="1" applyAlignment="1">
      <alignment horizontal="right" vertical="center"/>
    </xf>
    <xf numFmtId="1" fontId="10" fillId="0" borderId="29" xfId="0" applyNumberFormat="1" applyFont="1" applyBorder="1" applyAlignment="1">
      <alignment horizontal="center" vertical="center"/>
    </xf>
    <xf numFmtId="1" fontId="10" fillId="0" borderId="22" xfId="0" applyNumberFormat="1" applyFont="1" applyBorder="1" applyAlignment="1">
      <alignment horizontal="center" vertical="center"/>
    </xf>
    <xf numFmtId="1" fontId="50" fillId="12" borderId="23" xfId="0" applyNumberFormat="1" applyFont="1" applyFill="1" applyBorder="1" applyAlignment="1" applyProtection="1">
      <alignment horizontal="center"/>
      <protection locked="0"/>
    </xf>
    <xf numFmtId="1" fontId="10" fillId="13" borderId="23" xfId="0" applyNumberFormat="1" applyFont="1" applyFill="1" applyBorder="1" applyAlignment="1" applyProtection="1">
      <alignment horizontal="center"/>
      <protection locked="0"/>
    </xf>
    <xf numFmtId="1" fontId="50" fillId="14" borderId="23" xfId="0" applyNumberFormat="1" applyFont="1" applyFill="1" applyBorder="1" applyAlignment="1" applyProtection="1">
      <alignment horizontal="center"/>
      <protection locked="0"/>
    </xf>
    <xf numFmtId="1" fontId="10" fillId="8" borderId="23" xfId="0" applyNumberFormat="1" applyFont="1" applyFill="1" applyBorder="1" applyAlignment="1" applyProtection="1">
      <alignment horizontal="center"/>
      <protection locked="0"/>
    </xf>
    <xf numFmtId="1" fontId="50" fillId="15" borderId="23" xfId="0" applyNumberFormat="1" applyFont="1" applyFill="1" applyBorder="1" applyAlignment="1" applyProtection="1">
      <alignment horizontal="center"/>
      <protection locked="0"/>
    </xf>
    <xf numFmtId="1" fontId="50" fillId="16" borderId="23" xfId="0" applyNumberFormat="1" applyFont="1" applyFill="1" applyBorder="1" applyAlignment="1" applyProtection="1">
      <alignment horizontal="center"/>
      <protection locked="0"/>
    </xf>
    <xf numFmtId="1" fontId="50" fillId="17" borderId="40" xfId="0" applyNumberFormat="1" applyFont="1" applyFill="1" applyBorder="1" applyAlignment="1" applyProtection="1">
      <alignment horizontal="center"/>
      <protection locked="0"/>
    </xf>
    <xf numFmtId="2" fontId="0" fillId="0" borderId="16" xfId="0" applyNumberFormat="1" applyBorder="1" applyAlignment="1">
      <alignment horizontal="center"/>
    </xf>
    <xf numFmtId="2" fontId="0" fillId="0" borderId="41" xfId="0" applyNumberFormat="1" applyBorder="1" applyAlignment="1">
      <alignment horizontal="center"/>
    </xf>
    <xf numFmtId="2" fontId="0" fillId="0" borderId="17" xfId="0" applyNumberFormat="1" applyBorder="1" applyAlignment="1">
      <alignment horizontal="center"/>
    </xf>
    <xf numFmtId="0" fontId="10" fillId="0" borderId="42" xfId="0" applyFont="1" applyBorder="1" applyAlignment="1">
      <alignment horizontal="center" vertical="center" wrapText="1"/>
    </xf>
    <xf numFmtId="0" fontId="36" fillId="0" borderId="0" xfId="21" applyFont="1" applyFill="1" applyBorder="1" applyAlignment="1">
      <alignment horizontal="center" vertical="center" wrapText="1"/>
      <protection/>
    </xf>
    <xf numFmtId="0" fontId="36" fillId="0" borderId="0" xfId="21" applyFont="1" applyFill="1" applyBorder="1" applyAlignment="1">
      <alignment horizontal="center" vertical="center" wrapText="1"/>
      <protection/>
    </xf>
    <xf numFmtId="0" fontId="8" fillId="13" borderId="6" xfId="0" applyFont="1" applyFill="1" applyBorder="1" applyAlignment="1">
      <alignment horizontal="center"/>
    </xf>
    <xf numFmtId="0" fontId="0" fillId="0" borderId="42" xfId="0" applyBorder="1" applyAlignment="1">
      <alignment horizontal="center"/>
    </xf>
    <xf numFmtId="0" fontId="8" fillId="13" borderId="43" xfId="0" applyFont="1" applyFill="1" applyBorder="1" applyAlignment="1">
      <alignment horizontal="center"/>
    </xf>
    <xf numFmtId="20" fontId="43" fillId="0" borderId="31" xfId="0" applyNumberFormat="1" applyFont="1" applyFill="1" applyBorder="1" applyAlignment="1" applyProtection="1">
      <alignment vertical="center"/>
      <protection/>
    </xf>
    <xf numFmtId="20" fontId="43" fillId="0" borderId="20" xfId="0" applyNumberFormat="1" applyFont="1" applyFill="1" applyBorder="1" applyAlignment="1" applyProtection="1">
      <alignment vertical="center"/>
      <protection/>
    </xf>
    <xf numFmtId="20" fontId="43" fillId="0" borderId="22" xfId="0" applyNumberFormat="1" applyFont="1" applyFill="1" applyBorder="1" applyAlignment="1" applyProtection="1">
      <alignment vertical="center"/>
      <protection/>
    </xf>
    <xf numFmtId="0" fontId="0" fillId="4" borderId="19" xfId="0" applyFill="1" applyBorder="1" applyAlignment="1">
      <alignment/>
    </xf>
    <xf numFmtId="20" fontId="0" fillId="4" borderId="19" xfId="0" applyNumberFormat="1" applyFill="1" applyBorder="1" applyAlignment="1">
      <alignment/>
    </xf>
    <xf numFmtId="0" fontId="0" fillId="0" borderId="19" xfId="0" applyBorder="1" applyAlignment="1">
      <alignment/>
    </xf>
    <xf numFmtId="0" fontId="0" fillId="18" borderId="19" xfId="0" applyFill="1" applyBorder="1" applyAlignment="1">
      <alignment horizontal="center"/>
    </xf>
    <xf numFmtId="0" fontId="0" fillId="5" borderId="19" xfId="0" applyFill="1" applyBorder="1" applyAlignment="1">
      <alignment horizontal="center"/>
    </xf>
    <xf numFmtId="0" fontId="0" fillId="19" borderId="19" xfId="0" applyFill="1" applyBorder="1" applyAlignment="1">
      <alignment horizontal="center"/>
    </xf>
    <xf numFmtId="0" fontId="0" fillId="7" borderId="19" xfId="0" applyFill="1" applyBorder="1" applyAlignment="1">
      <alignment horizontal="center"/>
    </xf>
    <xf numFmtId="0" fontId="0" fillId="6" borderId="19" xfId="0" applyFill="1" applyBorder="1" applyAlignment="1">
      <alignment horizontal="center"/>
    </xf>
    <xf numFmtId="0" fontId="0" fillId="13" borderId="19" xfId="0" applyFill="1" applyBorder="1" applyAlignment="1">
      <alignment horizontal="center"/>
    </xf>
    <xf numFmtId="0" fontId="0" fillId="18" borderId="19" xfId="0" applyFill="1" applyBorder="1" applyAlignment="1">
      <alignment/>
    </xf>
    <xf numFmtId="0" fontId="10" fillId="0" borderId="15" xfId="0" applyFont="1" applyBorder="1" applyAlignment="1">
      <alignment horizontal="center" vertical="center" wrapText="1"/>
    </xf>
    <xf numFmtId="0" fontId="10" fillId="0" borderId="29" xfId="0" applyFont="1" applyBorder="1" applyAlignment="1">
      <alignment horizontal="center"/>
    </xf>
    <xf numFmtId="0" fontId="10" fillId="0" borderId="0" xfId="0" applyFont="1" applyAlignment="1">
      <alignment/>
    </xf>
    <xf numFmtId="0" fontId="10" fillId="10" borderId="29" xfId="0" applyFont="1" applyFill="1" applyBorder="1" applyAlignment="1" applyProtection="1">
      <alignment horizontal="center"/>
      <protection locked="0"/>
    </xf>
    <xf numFmtId="0" fontId="49" fillId="10" borderId="44" xfId="0" applyFont="1" applyFill="1" applyBorder="1" applyAlignment="1" applyProtection="1">
      <alignment horizontal="center" textRotation="45" wrapText="1"/>
      <protection locked="0"/>
    </xf>
    <xf numFmtId="0" fontId="49" fillId="10" borderId="9" xfId="0" applyFont="1" applyFill="1" applyBorder="1" applyAlignment="1" applyProtection="1">
      <alignment horizontal="center" vertical="center" wrapText="1"/>
      <protection locked="0"/>
    </xf>
    <xf numFmtId="0" fontId="49" fillId="0" borderId="6" xfId="0" applyFont="1" applyFill="1" applyBorder="1" applyAlignment="1" applyProtection="1">
      <alignment horizontal="center" textRotation="45" wrapText="1"/>
      <protection locked="0"/>
    </xf>
    <xf numFmtId="0" fontId="49" fillId="0" borderId="7" xfId="0" applyFont="1" applyFill="1" applyBorder="1" applyAlignment="1" applyProtection="1">
      <alignment horizontal="center" vertical="center" wrapText="1"/>
      <protection locked="0"/>
    </xf>
    <xf numFmtId="1" fontId="10" fillId="0" borderId="25" xfId="0" applyNumberFormat="1" applyFont="1" applyFill="1" applyBorder="1" applyAlignment="1" applyProtection="1">
      <alignment horizontal="center"/>
      <protection locked="0"/>
    </xf>
    <xf numFmtId="1" fontId="10" fillId="0" borderId="23" xfId="0" applyNumberFormat="1" applyFont="1" applyFill="1" applyBorder="1" applyAlignment="1" applyProtection="1">
      <alignment horizontal="center"/>
      <protection locked="0"/>
    </xf>
    <xf numFmtId="0" fontId="49" fillId="7" borderId="6" xfId="0" applyFont="1" applyFill="1" applyBorder="1" applyAlignment="1" applyProtection="1">
      <alignment horizontal="center" textRotation="45" wrapText="1"/>
      <protection locked="0"/>
    </xf>
    <xf numFmtId="0" fontId="49" fillId="7" borderId="7" xfId="0" applyFont="1" applyFill="1" applyBorder="1" applyAlignment="1" applyProtection="1">
      <alignment horizontal="center" vertical="center" wrapText="1"/>
      <protection locked="0"/>
    </xf>
    <xf numFmtId="1" fontId="10" fillId="7" borderId="25" xfId="0" applyNumberFormat="1" applyFont="1" applyFill="1" applyBorder="1" applyAlignment="1" applyProtection="1">
      <alignment horizontal="center"/>
      <protection locked="0"/>
    </xf>
    <xf numFmtId="0" fontId="49" fillId="5" borderId="6" xfId="0" applyFont="1" applyFill="1" applyBorder="1" applyAlignment="1">
      <alignment horizontal="center" textRotation="45" wrapText="1"/>
    </xf>
    <xf numFmtId="0" fontId="49" fillId="5" borderId="7" xfId="0" applyFont="1" applyFill="1" applyBorder="1" applyAlignment="1" applyProtection="1">
      <alignment horizontal="center" vertical="center" wrapText="1"/>
      <protection locked="0"/>
    </xf>
    <xf numFmtId="165" fontId="0" fillId="5" borderId="39" xfId="0" applyNumberFormat="1" applyFill="1" applyBorder="1" applyAlignment="1">
      <alignment horizontal="center"/>
    </xf>
    <xf numFmtId="0" fontId="0" fillId="0" borderId="0" xfId="0" applyBorder="1" applyAlignment="1">
      <alignment/>
    </xf>
    <xf numFmtId="0" fontId="17" fillId="20" borderId="6" xfId="0" applyFont="1" applyFill="1" applyBorder="1" applyAlignment="1" applyProtection="1">
      <alignment horizontal="center" vertical="center" textRotation="90"/>
      <protection/>
    </xf>
    <xf numFmtId="0" fontId="52" fillId="0" borderId="0" xfId="0" applyFont="1" applyAlignment="1">
      <alignment horizontal="center" vertical="center" wrapText="1"/>
    </xf>
    <xf numFmtId="0" fontId="53" fillId="0" borderId="0" xfId="0" applyFont="1" applyAlignment="1">
      <alignment horizontal="center" vertical="center" wrapText="1"/>
    </xf>
    <xf numFmtId="0" fontId="45" fillId="0" borderId="0" xfId="0" applyFont="1" applyAlignment="1">
      <alignment horizontal="center"/>
    </xf>
    <xf numFmtId="0" fontId="20" fillId="5" borderId="11" xfId="0" applyFont="1" applyFill="1" applyBorder="1" applyAlignment="1" applyProtection="1">
      <alignment horizontal="center" vertical="center"/>
      <protection locked="0"/>
    </xf>
    <xf numFmtId="0" fontId="0" fillId="0" borderId="11" xfId="0" applyBorder="1" applyAlignment="1">
      <alignment horizontal="center" vertical="center"/>
    </xf>
    <xf numFmtId="0" fontId="34" fillId="0" borderId="0" xfId="0" applyFont="1" applyAlignment="1" applyProtection="1">
      <alignment horizontal="left" vertical="center"/>
      <protection/>
    </xf>
    <xf numFmtId="0" fontId="34" fillId="0" borderId="0" xfId="0" applyFont="1" applyAlignment="1" applyProtection="1">
      <alignment horizontal="left" vertical="center" wrapText="1"/>
      <protection/>
    </xf>
    <xf numFmtId="0" fontId="10" fillId="5" borderId="10" xfId="0" applyFont="1" applyFill="1" applyBorder="1" applyAlignment="1">
      <alignment horizontal="center" vertical="center"/>
    </xf>
    <xf numFmtId="0" fontId="0" fillId="5" borderId="9" xfId="0" applyFill="1" applyBorder="1" applyAlignment="1">
      <alignment horizontal="center" vertical="center"/>
    </xf>
    <xf numFmtId="0" fontId="21" fillId="3" borderId="11" xfId="0" applyFont="1" applyFill="1" applyBorder="1" applyAlignment="1" applyProtection="1">
      <alignment horizontal="center" vertical="center"/>
      <protection/>
    </xf>
    <xf numFmtId="0" fontId="0" fillId="0" borderId="11" xfId="0" applyFont="1" applyBorder="1" applyAlignment="1">
      <alignment horizontal="center" vertical="center"/>
    </xf>
    <xf numFmtId="0" fontId="18" fillId="0" borderId="10" xfId="0" applyFont="1" applyFill="1" applyBorder="1" applyAlignment="1" applyProtection="1">
      <alignment horizontal="center" vertical="center"/>
      <protection/>
    </xf>
    <xf numFmtId="0" fontId="18" fillId="0" borderId="11" xfId="0" applyFont="1" applyFill="1" applyBorder="1" applyAlignment="1" applyProtection="1">
      <alignment horizontal="center" vertical="center"/>
      <protection/>
    </xf>
    <xf numFmtId="0" fontId="18" fillId="0" borderId="9" xfId="0" applyFont="1" applyFill="1" applyBorder="1" applyAlignment="1" applyProtection="1">
      <alignment horizontal="center" vertical="center"/>
      <protection/>
    </xf>
    <xf numFmtId="0" fontId="18" fillId="4" borderId="11" xfId="0" applyFont="1" applyFill="1" applyBorder="1" applyAlignment="1" applyProtection="1">
      <alignment horizontal="center" vertical="center"/>
      <protection/>
    </xf>
    <xf numFmtId="0" fontId="0" fillId="4" borderId="11" xfId="0" applyFill="1" applyBorder="1" applyAlignment="1">
      <alignment horizontal="center" vertical="center"/>
    </xf>
    <xf numFmtId="0" fontId="18" fillId="6" borderId="11" xfId="0" applyFont="1" applyFill="1" applyBorder="1" applyAlignment="1" applyProtection="1">
      <alignment horizontal="center" vertical="center"/>
      <protection/>
    </xf>
    <xf numFmtId="0" fontId="0" fillId="6" borderId="11" xfId="0" applyFill="1" applyBorder="1" applyAlignment="1">
      <alignment horizontal="center" vertical="center"/>
    </xf>
    <xf numFmtId="0" fontId="9" fillId="0" borderId="0" xfId="0" applyFont="1" applyAlignment="1">
      <alignment horizontal="center" vertical="center" wrapText="1"/>
    </xf>
    <xf numFmtId="0" fontId="54" fillId="7" borderId="45" xfId="21" applyFont="1" applyFill="1" applyBorder="1" applyAlignment="1">
      <alignment horizontal="center" vertical="center"/>
      <protection/>
    </xf>
    <xf numFmtId="0" fontId="54" fillId="7" borderId="11" xfId="21" applyFont="1" applyFill="1" applyBorder="1" applyAlignment="1">
      <alignment horizontal="center" vertical="center"/>
      <protection/>
    </xf>
    <xf numFmtId="0" fontId="47" fillId="9" borderId="43" xfId="0" applyFont="1" applyFill="1" applyBorder="1" applyAlignment="1">
      <alignment horizontal="center" vertical="center" wrapText="1"/>
    </xf>
    <xf numFmtId="0" fontId="47" fillId="9" borderId="46" xfId="0" applyFont="1" applyFill="1" applyBorder="1" applyAlignment="1">
      <alignment horizontal="center" vertical="center" wrapText="1"/>
    </xf>
    <xf numFmtId="0" fontId="47" fillId="9" borderId="44" xfId="0" applyFont="1" applyFill="1" applyBorder="1" applyAlignment="1">
      <alignment horizontal="center" vertical="center" wrapText="1"/>
    </xf>
    <xf numFmtId="0" fontId="41" fillId="7" borderId="45" xfId="21" applyFont="1" applyFill="1" applyBorder="1" applyAlignment="1">
      <alignment horizontal="center" vertical="center"/>
      <protection/>
    </xf>
    <xf numFmtId="0" fontId="41" fillId="7" borderId="11" xfId="21" applyFont="1" applyFill="1" applyBorder="1" applyAlignment="1">
      <alignment horizontal="center" vertical="center"/>
      <protection/>
    </xf>
    <xf numFmtId="0" fontId="41" fillId="7" borderId="47" xfId="21" applyFont="1" applyFill="1" applyBorder="1" applyAlignment="1">
      <alignment horizontal="center" vertical="center"/>
      <protection/>
    </xf>
    <xf numFmtId="0" fontId="17" fillId="20" borderId="8" xfId="0" applyFont="1" applyFill="1" applyBorder="1" applyAlignment="1" applyProtection="1">
      <alignment horizontal="center" vertical="center" textRotation="90"/>
      <protection/>
    </xf>
    <xf numFmtId="0" fontId="17" fillId="20" borderId="35" xfId="0" applyFont="1" applyFill="1" applyBorder="1" applyAlignment="1" applyProtection="1">
      <alignment horizontal="center" vertical="center" textRotation="90"/>
      <protection/>
    </xf>
    <xf numFmtId="0" fontId="52" fillId="0" borderId="43" xfId="0" applyFont="1" applyBorder="1" applyAlignment="1">
      <alignment horizontal="center" vertical="center" wrapText="1"/>
    </xf>
    <xf numFmtId="0" fontId="52" fillId="0" borderId="46" xfId="0" applyFont="1" applyBorder="1" applyAlignment="1">
      <alignment horizontal="center" vertical="center" wrapText="1"/>
    </xf>
    <xf numFmtId="0" fontId="52" fillId="0" borderId="44" xfId="0" applyFont="1" applyBorder="1" applyAlignment="1">
      <alignment horizontal="center" vertical="center" wrapText="1"/>
    </xf>
    <xf numFmtId="0" fontId="52" fillId="0" borderId="48"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37" xfId="0" applyFont="1" applyBorder="1" applyAlignment="1">
      <alignment horizontal="center" vertical="center" wrapText="1"/>
    </xf>
    <xf numFmtId="0" fontId="52" fillId="0" borderId="42" xfId="0" applyFont="1" applyBorder="1" applyAlignment="1">
      <alignment horizontal="center" vertical="center" wrapText="1"/>
    </xf>
    <xf numFmtId="0" fontId="52" fillId="0" borderId="49" xfId="0" applyFont="1" applyBorder="1" applyAlignment="1">
      <alignment horizontal="center" vertical="center" wrapText="1"/>
    </xf>
    <xf numFmtId="0" fontId="52" fillId="0" borderId="5" xfId="0" applyFont="1" applyBorder="1" applyAlignment="1">
      <alignment horizontal="center" vertical="center" wrapText="1"/>
    </xf>
    <xf numFmtId="0" fontId="10" fillId="0" borderId="6" xfId="0" applyFont="1" applyFill="1" applyBorder="1" applyAlignment="1">
      <alignment horizontal="center"/>
    </xf>
    <xf numFmtId="0" fontId="10" fillId="0" borderId="15" xfId="0" applyFont="1" applyBorder="1" applyAlignment="1">
      <alignment horizontal="center"/>
    </xf>
    <xf numFmtId="1" fontId="10" fillId="0" borderId="0" xfId="0" applyNumberFormat="1" applyFont="1" applyFill="1" applyBorder="1" applyAlignment="1">
      <alignment horizontal="left" vertical="center" wrapText="1"/>
    </xf>
    <xf numFmtId="0" fontId="0" fillId="0" borderId="0" xfId="0" applyAlignment="1">
      <alignment horizontal="left"/>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10" fillId="0" borderId="0" xfId="0" applyFont="1" applyAlignment="1">
      <alignment wrapText="1"/>
    </xf>
    <xf numFmtId="0" fontId="0" fillId="0" borderId="0" xfId="0" applyAlignment="1">
      <alignment wrapText="1"/>
    </xf>
    <xf numFmtId="0" fontId="55" fillId="0" borderId="10" xfId="0" applyFont="1" applyBorder="1" applyAlignment="1">
      <alignment horizontal="center"/>
    </xf>
    <xf numFmtId="0" fontId="55" fillId="0" borderId="11" xfId="0" applyFont="1" applyBorder="1" applyAlignment="1">
      <alignment horizontal="center"/>
    </xf>
    <xf numFmtId="0" fontId="55" fillId="0" borderId="9" xfId="0" applyFont="1" applyBorder="1" applyAlignment="1">
      <alignment horizontal="center"/>
    </xf>
    <xf numFmtId="0" fontId="10" fillId="0" borderId="43"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 xfId="0" applyFont="1" applyBorder="1" applyAlignment="1">
      <alignment horizontal="center" vertical="center" wrapText="1"/>
    </xf>
    <xf numFmtId="0" fontId="0" fillId="4"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0" fontId="0" fillId="0" borderId="0" xfId="0" applyAlignment="1">
      <alignment horizontal="center"/>
    </xf>
    <xf numFmtId="0" fontId="33" fillId="0" borderId="0" xfId="0" applyFont="1" applyAlignment="1">
      <alignment horizontal="left"/>
    </xf>
    <xf numFmtId="2" fontId="10" fillId="21" borderId="19" xfId="0" applyNumberFormat="1" applyFont="1" applyFill="1" applyBorder="1" applyAlignment="1">
      <alignment horizontal="center"/>
    </xf>
    <xf numFmtId="1" fontId="10" fillId="21" borderId="23" xfId="0" applyNumberFormat="1" applyFont="1" applyFill="1" applyBorder="1" applyAlignment="1" applyProtection="1">
      <alignment horizontal="center"/>
      <protection locked="0"/>
    </xf>
    <xf numFmtId="1" fontId="10" fillId="21" borderId="25" xfId="0" applyNumberFormat="1" applyFont="1" applyFill="1" applyBorder="1" applyAlignment="1" applyProtection="1">
      <alignment horizontal="center"/>
      <protection locked="0"/>
    </xf>
    <xf numFmtId="1" fontId="10" fillId="21" borderId="25" xfId="0" applyNumberFormat="1" applyFont="1" applyFill="1" applyBorder="1" applyAlignment="1" applyProtection="1">
      <alignment horizontal="center"/>
      <protection locked="0"/>
    </xf>
    <xf numFmtId="0" fontId="10" fillId="21" borderId="22" xfId="0" applyFont="1" applyFill="1" applyBorder="1" applyAlignment="1" applyProtection="1">
      <alignment horizontal="center"/>
      <protection locked="0"/>
    </xf>
    <xf numFmtId="1" fontId="10" fillId="13" borderId="0" xfId="0" applyNumberFormat="1" applyFont="1" applyFill="1" applyBorder="1" applyAlignment="1" applyProtection="1">
      <alignment horizontal="center"/>
      <protection locked="0"/>
    </xf>
    <xf numFmtId="1" fontId="10" fillId="13" borderId="25" xfId="0" applyNumberFormat="1" applyFont="1" applyFill="1" applyBorder="1" applyAlignment="1" applyProtection="1">
      <alignment horizontal="center"/>
      <protection locked="0"/>
    </xf>
    <xf numFmtId="1" fontId="10" fillId="13" borderId="23" xfId="0" applyNumberFormat="1" applyFont="1" applyFill="1" applyBorder="1" applyAlignment="1" applyProtection="1">
      <alignment horizontal="center"/>
      <protection locked="0"/>
    </xf>
    <xf numFmtId="0" fontId="10" fillId="13" borderId="29" xfId="0" applyFont="1" applyFill="1" applyBorder="1" applyAlignment="1" applyProtection="1">
      <alignment horizontal="center"/>
      <protection locked="0"/>
    </xf>
    <xf numFmtId="1" fontId="51" fillId="13" borderId="23" xfId="0" applyNumberFormat="1" applyFont="1" applyFill="1" applyBorder="1" applyAlignment="1" applyProtection="1">
      <alignment horizontal="center"/>
      <protection locked="0"/>
    </xf>
    <xf numFmtId="1" fontId="51" fillId="21" borderId="25" xfId="0" applyNumberFormat="1" applyFont="1" applyFill="1" applyBorder="1" applyAlignment="1" applyProtection="1">
      <alignment horizontal="center"/>
      <protection locked="0"/>
    </xf>
    <xf numFmtId="1" fontId="0" fillId="21" borderId="39" xfId="0" applyNumberFormat="1" applyFill="1" applyBorder="1" applyAlignment="1">
      <alignment horizontal="center"/>
    </xf>
    <xf numFmtId="165" fontId="10" fillId="21" borderId="35" xfId="0" applyNumberFormat="1" applyFont="1" applyFill="1" applyBorder="1" applyAlignment="1">
      <alignment horizontal="center"/>
    </xf>
    <xf numFmtId="165" fontId="0" fillId="21" borderId="39" xfId="0" applyNumberFormat="1" applyFill="1" applyBorder="1" applyAlignment="1">
      <alignment horizontal="center"/>
    </xf>
    <xf numFmtId="1" fontId="0" fillId="13" borderId="50" xfId="0" applyNumberFormat="1" applyFill="1" applyBorder="1" applyAlignment="1">
      <alignment horizontal="center"/>
    </xf>
    <xf numFmtId="165" fontId="0" fillId="13" borderId="50" xfId="0" applyNumberFormat="1" applyFill="1" applyBorder="1" applyAlignment="1">
      <alignment horizontal="center"/>
    </xf>
    <xf numFmtId="165" fontId="10" fillId="13" borderId="18" xfId="0" applyNumberFormat="1" applyFont="1" applyFill="1" applyBorder="1" applyAlignment="1">
      <alignment horizontal="center"/>
    </xf>
    <xf numFmtId="2" fontId="10" fillId="13" borderId="19" xfId="0" applyNumberFormat="1" applyFont="1" applyFill="1" applyBorder="1" applyAlignment="1">
      <alignment horizontal="center"/>
    </xf>
    <xf numFmtId="1" fontId="10" fillId="13" borderId="21" xfId="0" applyNumberFormat="1" applyFont="1" applyFill="1" applyBorder="1" applyAlignment="1">
      <alignment horizontal="center"/>
    </xf>
    <xf numFmtId="1" fontId="10" fillId="21" borderId="30" xfId="0" applyNumberFormat="1" applyFont="1" applyFill="1" applyBorder="1" applyAlignment="1">
      <alignment horizontal="center"/>
    </xf>
    <xf numFmtId="0" fontId="10" fillId="21" borderId="0" xfId="0"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Scrimmage Scoring" xfId="21"/>
    <cellStyle name="Percent" xfId="22"/>
  </cellStyles>
  <dxfs count="5">
    <dxf>
      <fill>
        <patternFill>
          <bgColor rgb="FF00FFFF"/>
        </patternFill>
      </fill>
      <border/>
    </dxf>
    <dxf>
      <fill>
        <patternFill>
          <bgColor rgb="FFFFFF00"/>
        </patternFill>
      </fill>
      <border/>
    </dxf>
    <dxf>
      <font>
        <color rgb="FFFFFFFF"/>
      </font>
      <border/>
    </dxf>
    <dxf>
      <font>
        <color rgb="FFFFFFFF"/>
      </font>
      <fill>
        <patternFill patternType="none">
          <bgColor indexed="65"/>
        </patternFill>
      </fill>
      <border/>
    </dxf>
    <dxf>
      <font>
        <color rgb="FFFFFFFF"/>
      </font>
      <fill>
        <patternFill patternType="solid">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B1:Y38"/>
  <sheetViews>
    <sheetView tabSelected="1" workbookViewId="0" topLeftCell="A1">
      <selection activeCell="B2" sqref="B2"/>
    </sheetView>
  </sheetViews>
  <sheetFormatPr defaultColWidth="9.140625" defaultRowHeight="12.75"/>
  <cols>
    <col min="1" max="1" width="1.57421875" style="15" customWidth="1"/>
    <col min="2" max="2" width="103.421875" style="14" customWidth="1"/>
    <col min="3" max="14" width="7.140625" style="15" customWidth="1"/>
    <col min="15" max="17" width="6.8515625" style="15" customWidth="1"/>
    <col min="18" max="19" width="6.28125" style="15" customWidth="1"/>
    <col min="20" max="16384" width="9.140625" style="15" customWidth="1"/>
  </cols>
  <sheetData>
    <row r="1" ht="34.5" thickTop="1">
      <c r="B1" s="1" t="s">
        <v>72</v>
      </c>
    </row>
    <row r="2" ht="21" thickBot="1">
      <c r="B2" s="2" t="s">
        <v>0</v>
      </c>
    </row>
    <row r="3" ht="8.25" customHeight="1" thickBot="1" thickTop="1">
      <c r="B3" s="3"/>
    </row>
    <row r="4" ht="16.5" thickTop="1">
      <c r="B4" s="4" t="s">
        <v>1</v>
      </c>
    </row>
    <row r="5" ht="12.75">
      <c r="B5" s="5" t="s">
        <v>2</v>
      </c>
    </row>
    <row r="6" ht="12.75">
      <c r="B6" s="6" t="s">
        <v>3</v>
      </c>
    </row>
    <row r="7" ht="25.5">
      <c r="B7" s="5" t="s">
        <v>135</v>
      </c>
    </row>
    <row r="8" ht="12.75">
      <c r="B8" s="5" t="s">
        <v>4</v>
      </c>
    </row>
    <row r="9" ht="12.75">
      <c r="B9" s="5" t="s">
        <v>5</v>
      </c>
    </row>
    <row r="10" ht="12.75">
      <c r="B10" s="5"/>
    </row>
    <row r="11" ht="13.5" thickBot="1">
      <c r="B11" s="7" t="s">
        <v>6</v>
      </c>
    </row>
    <row r="12" ht="8.25" customHeight="1" hidden="1" thickBot="1" thickTop="1">
      <c r="B12" s="8"/>
    </row>
    <row r="13" spans="2:25" s="16" customFormat="1" ht="15.75" hidden="1" thickTop="1">
      <c r="B13" s="9" t="s">
        <v>7</v>
      </c>
      <c r="C13" s="15"/>
      <c r="D13" s="15"/>
      <c r="E13" s="15"/>
      <c r="F13" s="15"/>
      <c r="G13" s="15"/>
      <c r="H13" s="15"/>
      <c r="I13" s="15"/>
      <c r="J13" s="15"/>
      <c r="K13" s="15"/>
      <c r="L13" s="15"/>
      <c r="M13" s="15"/>
      <c r="N13" s="15"/>
      <c r="O13" s="15"/>
      <c r="P13" s="15"/>
      <c r="Q13" s="15"/>
      <c r="R13" s="15"/>
      <c r="S13" s="15"/>
      <c r="T13" s="15"/>
      <c r="U13" s="15"/>
      <c r="V13" s="15"/>
      <c r="W13" s="15"/>
      <c r="X13" s="15"/>
      <c r="Y13" s="15"/>
    </row>
    <row r="14" spans="2:20" s="16" customFormat="1" ht="13.5" hidden="1" thickBot="1">
      <c r="B14" s="10" t="s">
        <v>8</v>
      </c>
      <c r="C14" s="15"/>
      <c r="D14" s="15"/>
      <c r="E14" s="15"/>
      <c r="F14" s="15"/>
      <c r="G14" s="15"/>
      <c r="H14" s="15"/>
      <c r="I14" s="15"/>
      <c r="J14" s="15"/>
      <c r="K14" s="15"/>
      <c r="L14" s="15"/>
      <c r="M14" s="15"/>
      <c r="N14" s="15"/>
      <c r="O14" s="15"/>
      <c r="P14" s="15"/>
      <c r="Q14" s="15"/>
      <c r="R14" s="15"/>
      <c r="S14" s="15"/>
      <c r="T14" s="15"/>
    </row>
    <row r="15" spans="2:20" s="16" customFormat="1" ht="8.25" customHeight="1" thickBot="1" thickTop="1">
      <c r="B15" s="11"/>
      <c r="C15" s="15"/>
      <c r="D15" s="15"/>
      <c r="E15" s="15"/>
      <c r="F15" s="15"/>
      <c r="G15" s="15"/>
      <c r="H15" s="15"/>
      <c r="I15" s="15"/>
      <c r="J15" s="15"/>
      <c r="K15" s="15"/>
      <c r="L15" s="15"/>
      <c r="M15" s="15"/>
      <c r="N15" s="15"/>
      <c r="O15" s="15"/>
      <c r="P15" s="15"/>
      <c r="Q15" s="15"/>
      <c r="R15" s="15"/>
      <c r="S15" s="15"/>
      <c r="T15" s="15"/>
    </row>
    <row r="16" spans="2:20" s="16" customFormat="1" ht="30.75" thickTop="1">
      <c r="B16" s="9" t="s">
        <v>9</v>
      </c>
      <c r="C16" s="15"/>
      <c r="D16" s="15"/>
      <c r="E16" s="15"/>
      <c r="F16" s="15"/>
      <c r="G16" s="15"/>
      <c r="H16" s="15"/>
      <c r="I16" s="15"/>
      <c r="J16" s="15"/>
      <c r="K16" s="15"/>
      <c r="L16" s="15"/>
      <c r="M16" s="15"/>
      <c r="N16" s="15"/>
      <c r="O16" s="15"/>
      <c r="P16" s="15"/>
      <c r="Q16" s="15"/>
      <c r="R16" s="15"/>
      <c r="S16" s="15"/>
      <c r="T16" s="15"/>
    </row>
    <row r="17" spans="2:20" s="16" customFormat="1" ht="38.25">
      <c r="B17" s="6" t="s">
        <v>124</v>
      </c>
      <c r="C17" s="15"/>
      <c r="D17" s="15"/>
      <c r="E17" s="15"/>
      <c r="F17" s="15"/>
      <c r="G17" s="15"/>
      <c r="H17" s="15"/>
      <c r="I17" s="15"/>
      <c r="J17" s="15"/>
      <c r="K17" s="15"/>
      <c r="L17" s="15"/>
      <c r="M17" s="15"/>
      <c r="N17" s="15"/>
      <c r="O17" s="15"/>
      <c r="P17" s="15"/>
      <c r="Q17" s="15"/>
      <c r="R17" s="15"/>
      <c r="S17" s="15"/>
      <c r="T17" s="15"/>
    </row>
    <row r="18" spans="2:20" s="16" customFormat="1" ht="12.75">
      <c r="B18" s="5" t="s">
        <v>10</v>
      </c>
      <c r="C18" s="15"/>
      <c r="D18" s="15"/>
      <c r="E18" s="15"/>
      <c r="F18" s="15"/>
      <c r="G18" s="15"/>
      <c r="H18" s="15"/>
      <c r="I18" s="15"/>
      <c r="J18" s="15"/>
      <c r="K18" s="15"/>
      <c r="L18" s="15"/>
      <c r="M18" s="15"/>
      <c r="N18" s="15"/>
      <c r="O18" s="15"/>
      <c r="P18" s="15"/>
      <c r="Q18" s="15"/>
      <c r="R18" s="15"/>
      <c r="S18" s="15"/>
      <c r="T18" s="15"/>
    </row>
    <row r="19" spans="2:20" s="16" customFormat="1" ht="12.75">
      <c r="B19" s="5" t="s">
        <v>11</v>
      </c>
      <c r="C19" s="15"/>
      <c r="D19" s="15"/>
      <c r="E19" s="15"/>
      <c r="F19" s="15"/>
      <c r="G19" s="15"/>
      <c r="H19" s="15"/>
      <c r="I19" s="15"/>
      <c r="J19" s="15"/>
      <c r="K19" s="15"/>
      <c r="L19" s="15"/>
      <c r="M19" s="15"/>
      <c r="N19" s="15"/>
      <c r="O19" s="15"/>
      <c r="P19" s="15"/>
      <c r="Q19" s="15"/>
      <c r="R19" s="15"/>
      <c r="S19" s="15"/>
      <c r="T19" s="15"/>
    </row>
    <row r="20" spans="2:20" s="16" customFormat="1" ht="12.75">
      <c r="B20" s="5" t="s">
        <v>12</v>
      </c>
      <c r="C20" s="15"/>
      <c r="D20" s="15"/>
      <c r="E20" s="15"/>
      <c r="F20" s="15"/>
      <c r="G20" s="15"/>
      <c r="H20" s="15"/>
      <c r="I20" s="15"/>
      <c r="J20" s="15"/>
      <c r="K20" s="15"/>
      <c r="L20" s="15"/>
      <c r="M20" s="15"/>
      <c r="N20" s="15"/>
      <c r="O20" s="15"/>
      <c r="P20" s="15"/>
      <c r="Q20" s="15"/>
      <c r="R20" s="15"/>
      <c r="S20" s="15"/>
      <c r="T20" s="15"/>
    </row>
    <row r="21" spans="2:20" s="16" customFormat="1" ht="25.5">
      <c r="B21" s="5" t="s">
        <v>13</v>
      </c>
      <c r="C21" s="15"/>
      <c r="D21" s="15"/>
      <c r="E21" s="15"/>
      <c r="F21" s="15"/>
      <c r="G21" s="15"/>
      <c r="H21" s="15"/>
      <c r="I21" s="15"/>
      <c r="J21" s="15"/>
      <c r="K21" s="15"/>
      <c r="L21" s="15"/>
      <c r="M21" s="15"/>
      <c r="N21" s="15"/>
      <c r="O21" s="15"/>
      <c r="P21" s="15"/>
      <c r="Q21" s="15"/>
      <c r="R21" s="15"/>
      <c r="S21" s="15"/>
      <c r="T21" s="15"/>
    </row>
    <row r="22" spans="2:20" s="16" customFormat="1" ht="12.75">
      <c r="B22" s="5"/>
      <c r="C22" s="15"/>
      <c r="D22" s="15"/>
      <c r="E22" s="15"/>
      <c r="F22" s="15"/>
      <c r="G22" s="15"/>
      <c r="H22" s="15"/>
      <c r="I22" s="15"/>
      <c r="J22" s="15"/>
      <c r="K22" s="15"/>
      <c r="L22" s="15"/>
      <c r="M22" s="15"/>
      <c r="N22" s="15"/>
      <c r="O22" s="15"/>
      <c r="P22" s="15"/>
      <c r="Q22" s="15"/>
      <c r="R22" s="15"/>
      <c r="S22" s="15"/>
      <c r="T22" s="15"/>
    </row>
    <row r="23" spans="2:20" s="16" customFormat="1" ht="12.75">
      <c r="B23" s="5"/>
      <c r="C23" s="15"/>
      <c r="D23" s="15"/>
      <c r="E23" s="15"/>
      <c r="F23" s="15"/>
      <c r="G23" s="15"/>
      <c r="H23" s="15"/>
      <c r="I23" s="15"/>
      <c r="J23" s="15"/>
      <c r="K23" s="15"/>
      <c r="L23" s="15"/>
      <c r="M23" s="15"/>
      <c r="N23" s="15"/>
      <c r="O23" s="15"/>
      <c r="P23" s="15"/>
      <c r="Q23" s="15"/>
      <c r="R23" s="15"/>
      <c r="S23" s="15"/>
      <c r="T23" s="15"/>
    </row>
    <row r="24" spans="2:20" s="16" customFormat="1" ht="13.5" thickBot="1">
      <c r="B24" s="5"/>
      <c r="C24" s="15"/>
      <c r="D24" s="15"/>
      <c r="E24" s="15"/>
      <c r="F24" s="15"/>
      <c r="G24" s="15"/>
      <c r="H24" s="15"/>
      <c r="I24" s="15"/>
      <c r="J24" s="15"/>
      <c r="K24" s="15"/>
      <c r="L24" s="15"/>
      <c r="M24" s="15"/>
      <c r="N24" s="15"/>
      <c r="O24" s="15"/>
      <c r="P24" s="15"/>
      <c r="Q24" s="15"/>
      <c r="R24" s="15"/>
      <c r="S24" s="15"/>
      <c r="T24" s="15"/>
    </row>
    <row r="25" spans="2:20" s="16" customFormat="1" ht="60.75" thickTop="1">
      <c r="B25" s="9" t="s">
        <v>285</v>
      </c>
      <c r="C25" s="15"/>
      <c r="D25" s="15"/>
      <c r="E25" s="15"/>
      <c r="F25" s="15"/>
      <c r="G25" s="15"/>
      <c r="H25" s="15"/>
      <c r="I25" s="15"/>
      <c r="J25" s="15"/>
      <c r="K25" s="15"/>
      <c r="L25" s="15"/>
      <c r="M25" s="15"/>
      <c r="N25" s="15"/>
      <c r="O25" s="15"/>
      <c r="P25" s="15"/>
      <c r="Q25" s="15"/>
      <c r="R25" s="15"/>
      <c r="S25" s="15"/>
      <c r="T25" s="15"/>
    </row>
    <row r="26" spans="2:20" s="16" customFormat="1" ht="25.5" hidden="1">
      <c r="B26" s="6" t="s">
        <v>14</v>
      </c>
      <c r="C26" s="15"/>
      <c r="D26" s="15"/>
      <c r="E26" s="15"/>
      <c r="F26" s="15"/>
      <c r="G26" s="15"/>
      <c r="H26" s="15"/>
      <c r="I26" s="15"/>
      <c r="J26" s="15"/>
      <c r="K26" s="15"/>
      <c r="L26" s="15"/>
      <c r="M26" s="15"/>
      <c r="N26" s="15"/>
      <c r="O26" s="15"/>
      <c r="P26" s="15"/>
      <c r="Q26" s="15"/>
      <c r="R26" s="15"/>
      <c r="S26" s="15"/>
      <c r="T26" s="15"/>
    </row>
    <row r="27" spans="2:20" s="16" customFormat="1" ht="25.5" hidden="1">
      <c r="B27" s="6" t="s">
        <v>15</v>
      </c>
      <c r="C27" s="15"/>
      <c r="D27" s="15"/>
      <c r="E27" s="15"/>
      <c r="F27" s="15"/>
      <c r="G27" s="15"/>
      <c r="H27" s="15"/>
      <c r="I27" s="15"/>
      <c r="J27" s="15"/>
      <c r="K27" s="15"/>
      <c r="L27" s="15"/>
      <c r="M27" s="15"/>
      <c r="N27" s="15"/>
      <c r="O27" s="15"/>
      <c r="P27" s="15"/>
      <c r="Q27" s="15"/>
      <c r="R27" s="15"/>
      <c r="S27" s="15"/>
      <c r="T27" s="15"/>
    </row>
    <row r="28" spans="2:20" s="16" customFormat="1" ht="25.5" hidden="1">
      <c r="B28" s="6" t="s">
        <v>16</v>
      </c>
      <c r="C28" s="15"/>
      <c r="D28" s="15"/>
      <c r="E28" s="15"/>
      <c r="F28" s="15"/>
      <c r="G28" s="15"/>
      <c r="H28" s="15"/>
      <c r="I28" s="15"/>
      <c r="J28" s="15"/>
      <c r="K28" s="15"/>
      <c r="L28" s="15"/>
      <c r="M28" s="15"/>
      <c r="N28" s="15"/>
      <c r="O28" s="15"/>
      <c r="P28" s="15"/>
      <c r="Q28" s="15"/>
      <c r="R28" s="15"/>
      <c r="S28" s="15"/>
      <c r="T28" s="15"/>
    </row>
    <row r="29" ht="8.25" customHeight="1">
      <c r="B29" s="5"/>
    </row>
    <row r="30" spans="2:25" s="16" customFormat="1" ht="26.25" thickBot="1">
      <c r="B30" s="10" t="s">
        <v>17</v>
      </c>
      <c r="C30" s="15"/>
      <c r="D30" s="15"/>
      <c r="E30" s="15"/>
      <c r="F30" s="15"/>
      <c r="G30" s="15"/>
      <c r="H30" s="15"/>
      <c r="I30" s="15"/>
      <c r="J30" s="15"/>
      <c r="K30" s="15"/>
      <c r="L30" s="15"/>
      <c r="M30" s="15"/>
      <c r="N30" s="15"/>
      <c r="O30" s="15"/>
      <c r="P30" s="15"/>
      <c r="Q30" s="15"/>
      <c r="R30" s="15"/>
      <c r="S30" s="15"/>
      <c r="T30" s="15"/>
      <c r="U30" s="15"/>
      <c r="V30" s="15"/>
      <c r="W30" s="15"/>
      <c r="X30" s="15"/>
      <c r="Y30" s="15"/>
    </row>
    <row r="31" spans="2:20" s="16" customFormat="1" ht="14.25" thickBot="1" thickTop="1">
      <c r="B31" s="8"/>
      <c r="C31" s="15"/>
      <c r="D31" s="15"/>
      <c r="E31" s="15"/>
      <c r="F31" s="15"/>
      <c r="G31" s="15"/>
      <c r="H31" s="15"/>
      <c r="I31" s="15"/>
      <c r="J31" s="15"/>
      <c r="K31" s="15"/>
      <c r="L31" s="15"/>
      <c r="M31" s="15"/>
      <c r="N31" s="15"/>
      <c r="O31" s="15"/>
      <c r="P31" s="15"/>
      <c r="Q31" s="15"/>
      <c r="R31" s="15"/>
      <c r="S31" s="15"/>
      <c r="T31" s="15"/>
    </row>
    <row r="32" spans="2:20" s="16" customFormat="1" ht="15.75" thickTop="1">
      <c r="B32" s="9" t="s">
        <v>235</v>
      </c>
      <c r="C32" s="15"/>
      <c r="D32" s="15"/>
      <c r="E32" s="15"/>
      <c r="F32" s="15"/>
      <c r="G32" s="15"/>
      <c r="H32" s="15"/>
      <c r="I32" s="15"/>
      <c r="J32" s="15"/>
      <c r="K32" s="15"/>
      <c r="L32" s="15"/>
      <c r="M32" s="15"/>
      <c r="N32" s="15"/>
      <c r="O32" s="15"/>
      <c r="P32" s="15"/>
      <c r="Q32" s="15"/>
      <c r="R32" s="15"/>
      <c r="S32" s="15"/>
      <c r="T32" s="15"/>
    </row>
    <row r="33" ht="17.25" customHeight="1" thickBot="1">
      <c r="B33" s="10"/>
    </row>
    <row r="34" ht="13.5" thickTop="1">
      <c r="B34" s="11"/>
    </row>
    <row r="35" ht="14.25" customHeight="1">
      <c r="B35" s="12"/>
    </row>
    <row r="36" ht="15.75" customHeight="1">
      <c r="B36" s="13" t="s">
        <v>18</v>
      </c>
    </row>
    <row r="37" ht="12.75">
      <c r="B37" s="5" t="s">
        <v>19</v>
      </c>
    </row>
    <row r="38" ht="13.5" thickBot="1">
      <c r="B38" s="10"/>
    </row>
    <row r="39" ht="13.5" thickTop="1"/>
  </sheetData>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sheetPr codeName="Sheet8"/>
  <dimension ref="A1:S30"/>
  <sheetViews>
    <sheetView zoomScale="126" zoomScaleNormal="126" workbookViewId="0" topLeftCell="A1">
      <selection activeCell="O21" sqref="O21:Q26"/>
    </sheetView>
  </sheetViews>
  <sheetFormatPr defaultColWidth="9.140625" defaultRowHeight="12.75"/>
  <cols>
    <col min="1" max="18" width="4.421875" style="73" customWidth="1"/>
    <col min="19" max="19" width="9.140625" style="73" customWidth="1"/>
  </cols>
  <sheetData>
    <row r="1" spans="1:18" ht="12.75">
      <c r="A1" s="151"/>
      <c r="B1" s="152">
        <v>1</v>
      </c>
      <c r="C1" s="152">
        <v>2</v>
      </c>
      <c r="D1" s="152">
        <v>3</v>
      </c>
      <c r="E1" s="152">
        <v>4</v>
      </c>
      <c r="F1" s="152">
        <v>5</v>
      </c>
      <c r="G1" s="152">
        <v>6</v>
      </c>
      <c r="H1" s="152">
        <v>7</v>
      </c>
      <c r="I1" s="152">
        <v>8</v>
      </c>
      <c r="J1" s="152">
        <v>9</v>
      </c>
      <c r="K1" s="152">
        <v>10</v>
      </c>
      <c r="L1" s="152">
        <v>11</v>
      </c>
      <c r="M1" s="152">
        <v>12</v>
      </c>
      <c r="N1" s="152">
        <v>13</v>
      </c>
      <c r="O1" s="152">
        <v>14</v>
      </c>
      <c r="P1" s="152">
        <v>15</v>
      </c>
      <c r="Q1" s="152">
        <v>16</v>
      </c>
      <c r="R1" s="148">
        <v>17</v>
      </c>
    </row>
    <row r="2" spans="1:19" ht="12.75">
      <c r="A2" s="153">
        <v>1</v>
      </c>
      <c r="B2" s="145" t="s">
        <v>174</v>
      </c>
      <c r="C2" s="146" t="s">
        <v>168</v>
      </c>
      <c r="D2" s="145"/>
      <c r="E2" s="149" t="s">
        <v>186</v>
      </c>
      <c r="F2" s="145"/>
      <c r="G2" s="145"/>
      <c r="H2" s="145"/>
      <c r="I2" s="145"/>
      <c r="J2" s="145"/>
      <c r="K2" s="145"/>
      <c r="L2" s="145"/>
      <c r="M2" s="145"/>
      <c r="N2" s="145"/>
      <c r="O2" s="145"/>
      <c r="P2" s="149" t="s">
        <v>202</v>
      </c>
      <c r="Q2" s="145"/>
      <c r="R2" s="154" t="s">
        <v>177</v>
      </c>
      <c r="S2" s="73">
        <f aca="true" t="shared" si="0" ref="S2:S15">COUNTA($B2:$R2)-5</f>
        <v>0</v>
      </c>
    </row>
    <row r="3" spans="1:19" ht="12.75">
      <c r="A3" s="153">
        <v>2</v>
      </c>
      <c r="B3" s="146" t="s">
        <v>168</v>
      </c>
      <c r="C3" s="145" t="s">
        <v>174</v>
      </c>
      <c r="D3" s="147" t="s">
        <v>178</v>
      </c>
      <c r="E3" s="145"/>
      <c r="F3" s="149" t="s">
        <v>187</v>
      </c>
      <c r="G3" s="145"/>
      <c r="H3" s="145"/>
      <c r="I3" s="145"/>
      <c r="J3" s="145"/>
      <c r="K3" s="145"/>
      <c r="L3" s="145"/>
      <c r="M3" s="145"/>
      <c r="N3" s="145"/>
      <c r="O3" s="145"/>
      <c r="P3" s="145"/>
      <c r="Q3" s="145" t="s">
        <v>199</v>
      </c>
      <c r="R3" s="155"/>
      <c r="S3" s="73">
        <f t="shared" si="0"/>
        <v>0</v>
      </c>
    </row>
    <row r="4" spans="1:19" ht="12.75">
      <c r="A4" s="153">
        <v>3</v>
      </c>
      <c r="B4" s="145"/>
      <c r="C4" s="147" t="s">
        <v>178</v>
      </c>
      <c r="D4" s="145" t="s">
        <v>174</v>
      </c>
      <c r="E4" s="146" t="s">
        <v>169</v>
      </c>
      <c r="F4" s="145"/>
      <c r="G4" s="149" t="s">
        <v>190</v>
      </c>
      <c r="H4" s="145"/>
      <c r="I4" s="145"/>
      <c r="J4" s="145"/>
      <c r="K4" s="145"/>
      <c r="L4" s="145"/>
      <c r="M4" s="145"/>
      <c r="N4" s="145"/>
      <c r="O4" s="145"/>
      <c r="P4" s="145"/>
      <c r="Q4" s="145"/>
      <c r="R4" s="156" t="s">
        <v>201</v>
      </c>
      <c r="S4" s="73">
        <f>COUNTA($B4:$R4)-5</f>
        <v>0</v>
      </c>
    </row>
    <row r="5" spans="1:19" ht="12.75">
      <c r="A5" s="153">
        <v>4</v>
      </c>
      <c r="B5" s="149" t="s">
        <v>186</v>
      </c>
      <c r="C5" s="145"/>
      <c r="D5" s="146" t="s">
        <v>169</v>
      </c>
      <c r="E5" s="145" t="s">
        <v>174</v>
      </c>
      <c r="F5" s="147" t="s">
        <v>179</v>
      </c>
      <c r="G5" s="145"/>
      <c r="H5" s="150" t="s">
        <v>188</v>
      </c>
      <c r="I5" s="145"/>
      <c r="J5" s="145"/>
      <c r="K5" s="145"/>
      <c r="L5" s="145"/>
      <c r="M5" s="145"/>
      <c r="N5" s="145"/>
      <c r="O5" s="145"/>
      <c r="P5" s="145"/>
      <c r="Q5" s="145"/>
      <c r="R5" s="156"/>
      <c r="S5" s="73">
        <f>COUNTA($B5:$R5)-5</f>
        <v>0</v>
      </c>
    </row>
    <row r="6" spans="1:19" ht="12.75">
      <c r="A6" s="153">
        <v>5</v>
      </c>
      <c r="B6" s="145"/>
      <c r="C6" s="149" t="s">
        <v>187</v>
      </c>
      <c r="D6" s="145"/>
      <c r="E6" s="147" t="s">
        <v>179</v>
      </c>
      <c r="F6" s="145" t="s">
        <v>174</v>
      </c>
      <c r="G6" s="146" t="s">
        <v>170</v>
      </c>
      <c r="H6" s="145"/>
      <c r="I6" s="145" t="s">
        <v>189</v>
      </c>
      <c r="J6" s="145"/>
      <c r="K6" s="145"/>
      <c r="L6" s="145"/>
      <c r="M6" s="145"/>
      <c r="N6" s="145"/>
      <c r="O6" s="145"/>
      <c r="P6" s="145"/>
      <c r="Q6" s="145"/>
      <c r="R6" s="156"/>
      <c r="S6" s="73">
        <f t="shared" si="0"/>
        <v>0</v>
      </c>
    </row>
    <row r="7" spans="1:19" ht="12.75">
      <c r="A7" s="153">
        <v>6</v>
      </c>
      <c r="B7" s="145"/>
      <c r="C7" s="145"/>
      <c r="D7" s="149" t="s">
        <v>190</v>
      </c>
      <c r="E7" s="145"/>
      <c r="F7" s="146" t="s">
        <v>170</v>
      </c>
      <c r="G7" s="145" t="s">
        <v>174</v>
      </c>
      <c r="H7" s="147" t="s">
        <v>180</v>
      </c>
      <c r="I7" s="145"/>
      <c r="J7" s="150" t="s">
        <v>191</v>
      </c>
      <c r="K7" s="145"/>
      <c r="L7" s="145"/>
      <c r="M7" s="145"/>
      <c r="N7" s="145"/>
      <c r="O7" s="145"/>
      <c r="P7" s="145"/>
      <c r="Q7" s="145"/>
      <c r="R7" s="156"/>
      <c r="S7" s="73">
        <f t="shared" si="0"/>
        <v>0</v>
      </c>
    </row>
    <row r="8" spans="1:19" ht="12.75">
      <c r="A8" s="153">
        <v>7</v>
      </c>
      <c r="B8" s="145"/>
      <c r="C8" s="145"/>
      <c r="D8" s="145"/>
      <c r="E8" s="150" t="s">
        <v>188</v>
      </c>
      <c r="F8" s="145"/>
      <c r="G8" s="147" t="s">
        <v>180</v>
      </c>
      <c r="H8" s="145" t="s">
        <v>174</v>
      </c>
      <c r="I8" s="146" t="s">
        <v>171</v>
      </c>
      <c r="J8" s="145"/>
      <c r="K8" s="149" t="s">
        <v>192</v>
      </c>
      <c r="L8" s="145"/>
      <c r="M8" s="145"/>
      <c r="N8" s="145"/>
      <c r="O8" s="145"/>
      <c r="P8" s="145"/>
      <c r="Q8" s="145"/>
      <c r="R8" s="156"/>
      <c r="S8" s="73">
        <f t="shared" si="0"/>
        <v>0</v>
      </c>
    </row>
    <row r="9" spans="1:19" ht="12.75">
      <c r="A9" s="153">
        <v>8</v>
      </c>
      <c r="B9" s="145"/>
      <c r="C9" s="145"/>
      <c r="D9" s="145"/>
      <c r="E9" s="145"/>
      <c r="F9" s="145" t="s">
        <v>189</v>
      </c>
      <c r="G9" s="145"/>
      <c r="H9" s="146" t="s">
        <v>171</v>
      </c>
      <c r="I9" s="145" t="s">
        <v>174</v>
      </c>
      <c r="J9" s="147" t="s">
        <v>181</v>
      </c>
      <c r="K9" s="145"/>
      <c r="L9" s="149" t="s">
        <v>194</v>
      </c>
      <c r="M9" s="145"/>
      <c r="N9" s="145"/>
      <c r="O9" s="145"/>
      <c r="P9" s="145"/>
      <c r="Q9" s="145"/>
      <c r="R9" s="156"/>
      <c r="S9" s="73">
        <f t="shared" si="0"/>
        <v>0</v>
      </c>
    </row>
    <row r="10" spans="1:19" ht="12.75">
      <c r="A10" s="153">
        <v>9</v>
      </c>
      <c r="B10" s="145"/>
      <c r="C10" s="145"/>
      <c r="D10" s="145"/>
      <c r="E10" s="145"/>
      <c r="F10" s="145"/>
      <c r="G10" s="150" t="s">
        <v>191</v>
      </c>
      <c r="H10" s="145"/>
      <c r="I10" s="147" t="s">
        <v>181</v>
      </c>
      <c r="J10" s="145" t="s">
        <v>174</v>
      </c>
      <c r="K10" s="146" t="s">
        <v>172</v>
      </c>
      <c r="L10" s="145"/>
      <c r="M10" s="149" t="s">
        <v>196</v>
      </c>
      <c r="N10" s="145"/>
      <c r="O10" s="145"/>
      <c r="P10" s="145"/>
      <c r="Q10" s="145"/>
      <c r="R10" s="156"/>
      <c r="S10" s="73">
        <f t="shared" si="0"/>
        <v>0</v>
      </c>
    </row>
    <row r="11" spans="1:19" ht="12.75">
      <c r="A11" s="153">
        <v>10</v>
      </c>
      <c r="B11" s="145"/>
      <c r="C11" s="145"/>
      <c r="D11" s="145"/>
      <c r="E11" s="145"/>
      <c r="F11" s="145"/>
      <c r="G11" s="145"/>
      <c r="H11" s="149" t="s">
        <v>192</v>
      </c>
      <c r="I11" s="145"/>
      <c r="J11" s="146" t="s">
        <v>172</v>
      </c>
      <c r="K11" s="145" t="s">
        <v>174</v>
      </c>
      <c r="L11" s="147" t="s">
        <v>182</v>
      </c>
      <c r="M11" s="145"/>
      <c r="N11" s="145" t="s">
        <v>193</v>
      </c>
      <c r="O11" s="145"/>
      <c r="P11" s="145"/>
      <c r="Q11" s="145"/>
      <c r="R11" s="156"/>
      <c r="S11" s="73">
        <f t="shared" si="0"/>
        <v>0</v>
      </c>
    </row>
    <row r="12" spans="1:19" ht="12.75">
      <c r="A12" s="153">
        <v>11</v>
      </c>
      <c r="B12" s="145"/>
      <c r="C12" s="145"/>
      <c r="D12" s="145"/>
      <c r="E12" s="145"/>
      <c r="F12" s="145"/>
      <c r="G12" s="145"/>
      <c r="H12" s="145"/>
      <c r="I12" s="149" t="s">
        <v>194</v>
      </c>
      <c r="J12" s="145"/>
      <c r="K12" s="147" t="s">
        <v>182</v>
      </c>
      <c r="L12" s="145" t="s">
        <v>174</v>
      </c>
      <c r="M12" s="146" t="s">
        <v>173</v>
      </c>
      <c r="N12" s="145"/>
      <c r="O12" s="150" t="s">
        <v>195</v>
      </c>
      <c r="P12" s="145"/>
      <c r="Q12" s="145"/>
      <c r="R12" s="156"/>
      <c r="S12" s="73">
        <f t="shared" si="0"/>
        <v>0</v>
      </c>
    </row>
    <row r="13" spans="1:19" ht="12.75">
      <c r="A13" s="153">
        <v>12</v>
      </c>
      <c r="B13" s="145"/>
      <c r="C13" s="145"/>
      <c r="D13" s="145"/>
      <c r="E13" s="145"/>
      <c r="F13" s="145"/>
      <c r="G13" s="145"/>
      <c r="H13" s="145"/>
      <c r="I13" s="145"/>
      <c r="J13" s="149" t="s">
        <v>196</v>
      </c>
      <c r="K13" s="145"/>
      <c r="L13" s="146" t="s">
        <v>173</v>
      </c>
      <c r="M13" s="145" t="s">
        <v>174</v>
      </c>
      <c r="N13" s="147" t="s">
        <v>183</v>
      </c>
      <c r="O13" s="145"/>
      <c r="P13" s="145" t="s">
        <v>197</v>
      </c>
      <c r="Q13" s="145"/>
      <c r="R13" s="156"/>
      <c r="S13" s="73">
        <f t="shared" si="0"/>
        <v>0</v>
      </c>
    </row>
    <row r="14" spans="1:19" ht="12.75">
      <c r="A14" s="153">
        <v>13</v>
      </c>
      <c r="B14" s="145"/>
      <c r="C14" s="145"/>
      <c r="D14" s="145"/>
      <c r="E14" s="145"/>
      <c r="F14" s="145"/>
      <c r="G14" s="145"/>
      <c r="H14" s="145"/>
      <c r="I14" s="145"/>
      <c r="J14" s="145"/>
      <c r="K14" s="145" t="s">
        <v>193</v>
      </c>
      <c r="L14" s="145"/>
      <c r="M14" s="147" t="s">
        <v>183</v>
      </c>
      <c r="N14" s="145" t="s">
        <v>174</v>
      </c>
      <c r="O14" s="146" t="s">
        <v>175</v>
      </c>
      <c r="P14" s="145"/>
      <c r="Q14" s="149" t="s">
        <v>198</v>
      </c>
      <c r="R14" s="156"/>
      <c r="S14" s="73">
        <f t="shared" si="0"/>
        <v>0</v>
      </c>
    </row>
    <row r="15" spans="1:19" ht="12.75">
      <c r="A15" s="153">
        <v>14</v>
      </c>
      <c r="B15" s="145"/>
      <c r="C15" s="145"/>
      <c r="D15" s="145"/>
      <c r="E15" s="145"/>
      <c r="F15" s="145"/>
      <c r="G15" s="145"/>
      <c r="H15" s="145"/>
      <c r="I15" s="145"/>
      <c r="J15" s="145"/>
      <c r="K15" s="145"/>
      <c r="L15" s="150" t="s">
        <v>195</v>
      </c>
      <c r="M15" s="145"/>
      <c r="N15" s="146" t="s">
        <v>175</v>
      </c>
      <c r="O15" s="145" t="s">
        <v>174</v>
      </c>
      <c r="P15" s="147" t="s">
        <v>184</v>
      </c>
      <c r="Q15" s="145"/>
      <c r="R15" s="167" t="s">
        <v>200</v>
      </c>
      <c r="S15" s="73">
        <f t="shared" si="0"/>
        <v>0</v>
      </c>
    </row>
    <row r="16" spans="1:19" ht="12.75">
      <c r="A16" s="153">
        <v>15</v>
      </c>
      <c r="B16" s="149" t="s">
        <v>202</v>
      </c>
      <c r="C16" s="145"/>
      <c r="D16" s="145"/>
      <c r="E16" s="145"/>
      <c r="F16" s="145"/>
      <c r="G16" s="145"/>
      <c r="H16" s="145"/>
      <c r="I16" s="145"/>
      <c r="J16" s="145"/>
      <c r="K16" s="145"/>
      <c r="L16" s="145"/>
      <c r="M16" s="145" t="s">
        <v>197</v>
      </c>
      <c r="N16" s="145"/>
      <c r="O16" s="147" t="s">
        <v>184</v>
      </c>
      <c r="P16" s="145" t="s">
        <v>174</v>
      </c>
      <c r="Q16" s="146" t="s">
        <v>176</v>
      </c>
      <c r="R16" s="155"/>
      <c r="S16" s="73">
        <f>COUNTA($B16:$R16)-5</f>
        <v>0</v>
      </c>
    </row>
    <row r="17" spans="1:19" ht="12.75">
      <c r="A17" s="153">
        <v>16</v>
      </c>
      <c r="B17" s="150"/>
      <c r="C17" s="145" t="s">
        <v>199</v>
      </c>
      <c r="D17" s="145"/>
      <c r="E17" s="145"/>
      <c r="F17" s="145"/>
      <c r="G17" s="145"/>
      <c r="H17" s="145"/>
      <c r="I17" s="145"/>
      <c r="J17" s="145"/>
      <c r="K17" s="145"/>
      <c r="L17" s="145"/>
      <c r="M17" s="145"/>
      <c r="N17" s="149" t="s">
        <v>198</v>
      </c>
      <c r="O17" s="145"/>
      <c r="P17" s="146" t="s">
        <v>176</v>
      </c>
      <c r="Q17" s="145" t="s">
        <v>174</v>
      </c>
      <c r="R17" s="157" t="s">
        <v>185</v>
      </c>
      <c r="S17" s="73">
        <f>COUNTA($B17:$R17)-5</f>
        <v>0</v>
      </c>
    </row>
    <row r="18" spans="1:19" ht="13.5" thickBot="1">
      <c r="A18" s="158">
        <v>17</v>
      </c>
      <c r="B18" s="159" t="s">
        <v>177</v>
      </c>
      <c r="C18" s="160"/>
      <c r="D18" s="160" t="s">
        <v>201</v>
      </c>
      <c r="E18" s="160"/>
      <c r="F18" s="160"/>
      <c r="G18" s="160"/>
      <c r="H18" s="160"/>
      <c r="I18" s="160"/>
      <c r="J18" s="160"/>
      <c r="K18" s="160"/>
      <c r="L18" s="160"/>
      <c r="M18" s="160"/>
      <c r="N18" s="160"/>
      <c r="O18" s="169" t="s">
        <v>200</v>
      </c>
      <c r="P18" s="161"/>
      <c r="Q18" s="162" t="s">
        <v>185</v>
      </c>
      <c r="R18" s="163" t="s">
        <v>174</v>
      </c>
      <c r="S18" s="73">
        <f>COUNTA($B18:$R18)-5</f>
        <v>0</v>
      </c>
    </row>
    <row r="19" spans="2:18" s="73" customFormat="1" ht="12.75">
      <c r="B19" s="73">
        <f aca="true" t="shared" si="1" ref="B19:O19">COUNTA(B$2:B$18)-5</f>
        <v>0</v>
      </c>
      <c r="C19" s="73">
        <f t="shared" si="1"/>
        <v>0</v>
      </c>
      <c r="D19" s="73">
        <f>COUNTA(D$2:D$18)-5</f>
        <v>0</v>
      </c>
      <c r="E19" s="73">
        <f>COUNTA(E$2:E$18)-5</f>
        <v>0</v>
      </c>
      <c r="F19" s="73">
        <f t="shared" si="1"/>
        <v>0</v>
      </c>
      <c r="G19" s="73">
        <f t="shared" si="1"/>
        <v>0</v>
      </c>
      <c r="H19" s="73">
        <f t="shared" si="1"/>
        <v>0</v>
      </c>
      <c r="I19" s="73">
        <f t="shared" si="1"/>
        <v>0</v>
      </c>
      <c r="J19" s="73">
        <f t="shared" si="1"/>
        <v>0</v>
      </c>
      <c r="K19" s="73">
        <f t="shared" si="1"/>
        <v>0</v>
      </c>
      <c r="L19" s="73">
        <f t="shared" si="1"/>
        <v>0</v>
      </c>
      <c r="M19" s="73">
        <f t="shared" si="1"/>
        <v>0</v>
      </c>
      <c r="N19" s="73">
        <f t="shared" si="1"/>
        <v>0</v>
      </c>
      <c r="O19" s="73">
        <f t="shared" si="1"/>
        <v>0</v>
      </c>
      <c r="P19" s="73">
        <f>COUNTA(P$2:P$18)-5</f>
        <v>0</v>
      </c>
      <c r="Q19" s="73">
        <f>COUNTA(Q$2:Q$18)-5</f>
        <v>0</v>
      </c>
      <c r="R19" s="73">
        <f>COUNTA(R$2:R$18)-5</f>
        <v>0</v>
      </c>
    </row>
    <row r="20" ht="13.5" thickBot="1"/>
    <row r="21" spans="3:17" ht="12.75">
      <c r="C21" s="360" t="s">
        <v>203</v>
      </c>
      <c r="D21" s="360"/>
      <c r="F21" s="361" t="s">
        <v>204</v>
      </c>
      <c r="G21" s="361"/>
      <c r="I21" s="362" t="s">
        <v>205</v>
      </c>
      <c r="J21" s="362"/>
      <c r="L21" s="363" t="s">
        <v>206</v>
      </c>
      <c r="M21" s="363"/>
      <c r="O21" s="351" t="s">
        <v>211</v>
      </c>
      <c r="P21" s="352"/>
      <c r="Q21" s="353"/>
    </row>
    <row r="22" spans="2:17" ht="12.75">
      <c r="B22" s="73">
        <v>1</v>
      </c>
      <c r="C22" s="73">
        <v>1</v>
      </c>
      <c r="D22" s="73">
        <v>2</v>
      </c>
      <c r="F22" s="73">
        <v>2</v>
      </c>
      <c r="G22" s="73">
        <v>3</v>
      </c>
      <c r="I22" s="73">
        <v>1</v>
      </c>
      <c r="J22" s="73">
        <v>4</v>
      </c>
      <c r="L22" s="73">
        <v>4</v>
      </c>
      <c r="M22" s="73">
        <v>7</v>
      </c>
      <c r="O22" s="354"/>
      <c r="P22" s="355"/>
      <c r="Q22" s="356"/>
    </row>
    <row r="23" spans="2:17" ht="12.75">
      <c r="B23" s="73">
        <v>2</v>
      </c>
      <c r="C23" s="73">
        <v>3</v>
      </c>
      <c r="D23" s="73">
        <v>4</v>
      </c>
      <c r="F23" s="73">
        <v>4</v>
      </c>
      <c r="G23" s="73">
        <v>5</v>
      </c>
      <c r="I23" s="73">
        <v>2</v>
      </c>
      <c r="J23" s="73">
        <v>5</v>
      </c>
      <c r="L23" s="73">
        <v>5</v>
      </c>
      <c r="M23" s="73">
        <v>8</v>
      </c>
      <c r="O23" s="354"/>
      <c r="P23" s="355"/>
      <c r="Q23" s="356"/>
    </row>
    <row r="24" spans="2:17" ht="12.75">
      <c r="B24" s="73">
        <v>3</v>
      </c>
      <c r="C24" s="73">
        <v>5</v>
      </c>
      <c r="D24" s="73">
        <v>6</v>
      </c>
      <c r="F24" s="73">
        <v>6</v>
      </c>
      <c r="G24" s="73">
        <v>7</v>
      </c>
      <c r="I24" s="73">
        <v>3</v>
      </c>
      <c r="J24" s="73">
        <v>6</v>
      </c>
      <c r="L24" s="73">
        <v>6</v>
      </c>
      <c r="M24" s="73">
        <v>9</v>
      </c>
      <c r="O24" s="354"/>
      <c r="P24" s="355"/>
      <c r="Q24" s="356"/>
    </row>
    <row r="25" spans="2:17" ht="12.75">
      <c r="B25" s="73">
        <v>4</v>
      </c>
      <c r="C25" s="73">
        <v>7</v>
      </c>
      <c r="D25" s="73">
        <v>8</v>
      </c>
      <c r="F25" s="73">
        <v>8</v>
      </c>
      <c r="G25" s="73">
        <v>9</v>
      </c>
      <c r="I25" s="73">
        <v>7</v>
      </c>
      <c r="J25" s="73">
        <v>10</v>
      </c>
      <c r="L25" s="73">
        <v>10</v>
      </c>
      <c r="M25" s="73">
        <v>13</v>
      </c>
      <c r="O25" s="354"/>
      <c r="P25" s="355"/>
      <c r="Q25" s="356"/>
    </row>
    <row r="26" spans="2:17" ht="13.5" thickBot="1">
      <c r="B26" s="73">
        <v>5</v>
      </c>
      <c r="C26" s="73">
        <v>9</v>
      </c>
      <c r="D26" s="73">
        <v>10</v>
      </c>
      <c r="F26" s="73">
        <v>10</v>
      </c>
      <c r="G26" s="73">
        <v>11</v>
      </c>
      <c r="I26" s="73">
        <v>8</v>
      </c>
      <c r="J26" s="73">
        <v>11</v>
      </c>
      <c r="L26" s="73">
        <v>11</v>
      </c>
      <c r="M26" s="73">
        <v>14</v>
      </c>
      <c r="O26" s="357"/>
      <c r="P26" s="358"/>
      <c r="Q26" s="359"/>
    </row>
    <row r="27" spans="2:13" ht="12.75">
      <c r="B27" s="73">
        <v>6</v>
      </c>
      <c r="C27" s="73">
        <v>11</v>
      </c>
      <c r="D27" s="73">
        <v>12</v>
      </c>
      <c r="F27" s="73">
        <v>12</v>
      </c>
      <c r="G27" s="73">
        <v>13</v>
      </c>
      <c r="I27" s="73">
        <v>9</v>
      </c>
      <c r="J27" s="73">
        <v>12</v>
      </c>
      <c r="L27" s="73">
        <v>12</v>
      </c>
      <c r="M27" s="73">
        <v>15</v>
      </c>
    </row>
    <row r="28" spans="2:13" ht="12.75">
      <c r="B28" s="73">
        <v>7</v>
      </c>
      <c r="C28" s="73">
        <v>13</v>
      </c>
      <c r="D28" s="73">
        <v>14</v>
      </c>
      <c r="F28" s="73">
        <v>14</v>
      </c>
      <c r="G28" s="73">
        <v>15</v>
      </c>
      <c r="I28" s="73">
        <v>13</v>
      </c>
      <c r="J28" s="73">
        <v>16</v>
      </c>
      <c r="L28" s="73">
        <v>16</v>
      </c>
      <c r="M28" s="73">
        <v>2</v>
      </c>
    </row>
    <row r="29" spans="2:13" ht="12.75">
      <c r="B29" s="73">
        <v>8</v>
      </c>
      <c r="C29" s="73">
        <v>15</v>
      </c>
      <c r="D29" s="73">
        <v>16</v>
      </c>
      <c r="F29" s="73">
        <v>16</v>
      </c>
      <c r="G29" s="73">
        <v>17</v>
      </c>
      <c r="I29" s="73">
        <v>14</v>
      </c>
      <c r="J29" s="73">
        <v>17</v>
      </c>
      <c r="L29" s="73">
        <v>17</v>
      </c>
      <c r="M29" s="73">
        <v>3</v>
      </c>
    </row>
    <row r="30" spans="2:10" ht="12.75">
      <c r="B30" s="73">
        <v>9</v>
      </c>
      <c r="C30" s="73">
        <v>17</v>
      </c>
      <c r="D30" s="73">
        <v>1</v>
      </c>
      <c r="I30" s="73">
        <v>15</v>
      </c>
      <c r="J30" s="73">
        <v>1</v>
      </c>
    </row>
  </sheetData>
  <mergeCells count="5">
    <mergeCell ref="O21:Q26"/>
    <mergeCell ref="C21:D21"/>
    <mergeCell ref="F21:G21"/>
    <mergeCell ref="I21:J21"/>
    <mergeCell ref="L21:M21"/>
  </mergeCells>
  <conditionalFormatting sqref="B19:R19 S1:S22">
    <cfRule type="cellIs" priority="1" dxfId="2" operator="equal" stopIfTrue="1">
      <formula>0</formula>
    </cfRule>
  </conditionalFormatting>
  <printOptions/>
  <pageMargins left="0.75" right="0.75" top="1" bottom="1" header="0.5" footer="0.5"/>
  <pageSetup horizontalDpi="300" verticalDpi="300" orientation="portrait" r:id="rId1"/>
  <headerFooter alignWithMargins="0">
    <oddFooter>&amp;L&amp;A&amp;C&amp;D&amp;R&amp;F</oddFooter>
  </headerFooter>
</worksheet>
</file>

<file path=xl/worksheets/sheet11.xml><?xml version="1.0" encoding="utf-8"?>
<worksheet xmlns="http://schemas.openxmlformats.org/spreadsheetml/2006/main" xmlns:r="http://schemas.openxmlformats.org/officeDocument/2006/relationships">
  <sheetPr codeName="Sheet9"/>
  <dimension ref="A1:S30"/>
  <sheetViews>
    <sheetView zoomScale="126" zoomScaleNormal="126" workbookViewId="0" topLeftCell="A1">
      <selection activeCell="A1" sqref="A1"/>
    </sheetView>
  </sheetViews>
  <sheetFormatPr defaultColWidth="9.140625" defaultRowHeight="12.75"/>
  <cols>
    <col min="1" max="18" width="4.421875" style="73" customWidth="1"/>
    <col min="19" max="19" width="9.140625" style="73" customWidth="1"/>
  </cols>
  <sheetData>
    <row r="1" spans="1:18" ht="12.75">
      <c r="A1" s="151"/>
      <c r="B1" s="152">
        <v>1</v>
      </c>
      <c r="C1" s="152">
        <v>2</v>
      </c>
      <c r="D1" s="152">
        <v>3</v>
      </c>
      <c r="E1" s="152">
        <v>4</v>
      </c>
      <c r="F1" s="152">
        <v>5</v>
      </c>
      <c r="G1" s="152">
        <v>6</v>
      </c>
      <c r="H1" s="152">
        <v>7</v>
      </c>
      <c r="I1" s="152">
        <v>8</v>
      </c>
      <c r="J1" s="152">
        <v>9</v>
      </c>
      <c r="K1" s="152">
        <v>10</v>
      </c>
      <c r="L1" s="152">
        <v>11</v>
      </c>
      <c r="M1" s="152">
        <v>12</v>
      </c>
      <c r="N1" s="152">
        <v>13</v>
      </c>
      <c r="O1" s="152">
        <v>14</v>
      </c>
      <c r="P1" s="152">
        <v>15</v>
      </c>
      <c r="Q1" s="152">
        <v>16</v>
      </c>
      <c r="R1" s="148">
        <v>17</v>
      </c>
    </row>
    <row r="2" spans="1:19" ht="12.75">
      <c r="A2" s="153">
        <v>1</v>
      </c>
      <c r="B2" s="145" t="s">
        <v>174</v>
      </c>
      <c r="C2" s="146" t="s">
        <v>168</v>
      </c>
      <c r="D2" s="145"/>
      <c r="E2" s="145"/>
      <c r="F2" s="149" t="s">
        <v>186</v>
      </c>
      <c r="G2" s="145"/>
      <c r="H2" s="145"/>
      <c r="I2" s="145"/>
      <c r="J2" s="145"/>
      <c r="K2" s="145"/>
      <c r="L2" s="145"/>
      <c r="M2" s="145"/>
      <c r="N2" s="145"/>
      <c r="O2" s="145" t="s">
        <v>197</v>
      </c>
      <c r="P2" s="145"/>
      <c r="Q2" s="145"/>
      <c r="R2" s="154" t="s">
        <v>177</v>
      </c>
      <c r="S2" s="73">
        <f aca="true" t="shared" si="0" ref="S2:S13">COUNTA($B2:$R2)-5</f>
        <v>0</v>
      </c>
    </row>
    <row r="3" spans="1:19" ht="12.75">
      <c r="A3" s="153">
        <v>2</v>
      </c>
      <c r="B3" s="146" t="s">
        <v>168</v>
      </c>
      <c r="C3" s="145" t="s">
        <v>174</v>
      </c>
      <c r="D3" s="147" t="s">
        <v>178</v>
      </c>
      <c r="E3" s="145"/>
      <c r="F3" s="145"/>
      <c r="G3" s="149" t="s">
        <v>187</v>
      </c>
      <c r="H3" s="145"/>
      <c r="I3" s="145"/>
      <c r="J3" s="145"/>
      <c r="K3" s="145"/>
      <c r="L3" s="145"/>
      <c r="M3" s="145"/>
      <c r="N3" s="145"/>
      <c r="O3" s="145"/>
      <c r="P3" s="145" t="s">
        <v>199</v>
      </c>
      <c r="Q3" s="150"/>
      <c r="R3" s="155"/>
      <c r="S3" s="73">
        <f t="shared" si="0"/>
        <v>0</v>
      </c>
    </row>
    <row r="4" spans="1:19" ht="12.75">
      <c r="A4" s="153">
        <v>3</v>
      </c>
      <c r="B4" s="145"/>
      <c r="C4" s="147" t="s">
        <v>178</v>
      </c>
      <c r="D4" s="145" t="s">
        <v>174</v>
      </c>
      <c r="E4" s="146" t="s">
        <v>169</v>
      </c>
      <c r="F4" s="145"/>
      <c r="G4" s="145"/>
      <c r="H4" s="149" t="s">
        <v>190</v>
      </c>
      <c r="I4" s="145"/>
      <c r="J4" s="145"/>
      <c r="K4" s="145"/>
      <c r="L4" s="145"/>
      <c r="M4" s="145"/>
      <c r="N4" s="145"/>
      <c r="O4" s="145"/>
      <c r="P4" s="145"/>
      <c r="Q4" s="145" t="s">
        <v>201</v>
      </c>
      <c r="R4" s="156"/>
      <c r="S4" s="73">
        <f t="shared" si="0"/>
        <v>0</v>
      </c>
    </row>
    <row r="5" spans="1:19" ht="12.75">
      <c r="A5" s="153">
        <v>4</v>
      </c>
      <c r="B5" s="145"/>
      <c r="C5" s="145"/>
      <c r="D5" s="146" t="s">
        <v>169</v>
      </c>
      <c r="E5" s="145" t="s">
        <v>174</v>
      </c>
      <c r="F5" s="147" t="s">
        <v>179</v>
      </c>
      <c r="G5" s="145"/>
      <c r="H5" s="145"/>
      <c r="I5" s="149" t="s">
        <v>192</v>
      </c>
      <c r="J5" s="145"/>
      <c r="K5" s="145"/>
      <c r="L5" s="145"/>
      <c r="M5" s="145"/>
      <c r="N5" s="145"/>
      <c r="O5" s="145"/>
      <c r="P5" s="145"/>
      <c r="Q5" s="145"/>
      <c r="R5" s="167" t="s">
        <v>202</v>
      </c>
      <c r="S5" s="73">
        <f t="shared" si="0"/>
        <v>0</v>
      </c>
    </row>
    <row r="6" spans="1:19" ht="12.75">
      <c r="A6" s="153">
        <v>5</v>
      </c>
      <c r="B6" s="149" t="s">
        <v>186</v>
      </c>
      <c r="C6" s="145"/>
      <c r="D6" s="145"/>
      <c r="E6" s="147" t="s">
        <v>179</v>
      </c>
      <c r="F6" s="145" t="s">
        <v>174</v>
      </c>
      <c r="G6" s="146" t="s">
        <v>170</v>
      </c>
      <c r="H6" s="145"/>
      <c r="I6" s="145"/>
      <c r="J6" s="150" t="s">
        <v>188</v>
      </c>
      <c r="K6" s="145"/>
      <c r="L6" s="145"/>
      <c r="M6" s="145"/>
      <c r="N6" s="145"/>
      <c r="O6" s="145"/>
      <c r="P6" s="145"/>
      <c r="Q6" s="145"/>
      <c r="R6" s="156"/>
      <c r="S6" s="73">
        <f>COUNTA($B6:$R6)-5</f>
        <v>0</v>
      </c>
    </row>
    <row r="7" spans="1:19" ht="12.75">
      <c r="A7" s="153">
        <v>6</v>
      </c>
      <c r="B7" s="145"/>
      <c r="C7" s="149" t="s">
        <v>187</v>
      </c>
      <c r="D7" s="145"/>
      <c r="E7" s="145"/>
      <c r="F7" s="146" t="s">
        <v>170</v>
      </c>
      <c r="G7" s="145" t="s">
        <v>174</v>
      </c>
      <c r="H7" s="147" t="s">
        <v>180</v>
      </c>
      <c r="I7" s="145"/>
      <c r="J7" s="145"/>
      <c r="K7" s="145" t="s">
        <v>189</v>
      </c>
      <c r="L7" s="145"/>
      <c r="M7" s="145"/>
      <c r="N7" s="145"/>
      <c r="O7" s="145"/>
      <c r="P7" s="145"/>
      <c r="Q7" s="145"/>
      <c r="R7" s="156"/>
      <c r="S7" s="73">
        <f t="shared" si="0"/>
        <v>0</v>
      </c>
    </row>
    <row r="8" spans="1:19" ht="12.75">
      <c r="A8" s="153">
        <v>7</v>
      </c>
      <c r="B8" s="145"/>
      <c r="C8" s="145"/>
      <c r="D8" s="149" t="s">
        <v>190</v>
      </c>
      <c r="E8" s="145"/>
      <c r="F8" s="145"/>
      <c r="G8" s="147" t="s">
        <v>180</v>
      </c>
      <c r="H8" s="145" t="s">
        <v>174</v>
      </c>
      <c r="I8" s="146" t="s">
        <v>171</v>
      </c>
      <c r="J8" s="145"/>
      <c r="K8" s="145"/>
      <c r="L8" s="150" t="s">
        <v>191</v>
      </c>
      <c r="M8" s="145"/>
      <c r="N8" s="145"/>
      <c r="O8" s="145"/>
      <c r="P8" s="145"/>
      <c r="Q8" s="145"/>
      <c r="R8" s="156"/>
      <c r="S8" s="73">
        <f t="shared" si="0"/>
        <v>0</v>
      </c>
    </row>
    <row r="9" spans="1:19" ht="12.75">
      <c r="A9" s="153">
        <v>8</v>
      </c>
      <c r="B9" s="145"/>
      <c r="C9" s="145"/>
      <c r="D9" s="145"/>
      <c r="E9" s="149" t="s">
        <v>192</v>
      </c>
      <c r="F9" s="145"/>
      <c r="G9" s="145"/>
      <c r="H9" s="146" t="s">
        <v>171</v>
      </c>
      <c r="I9" s="145" t="s">
        <v>174</v>
      </c>
      <c r="J9" s="147" t="s">
        <v>181</v>
      </c>
      <c r="K9" s="145"/>
      <c r="L9" s="145"/>
      <c r="M9" s="145" t="s">
        <v>193</v>
      </c>
      <c r="N9" s="145"/>
      <c r="O9" s="145"/>
      <c r="P9" s="145"/>
      <c r="Q9" s="145"/>
      <c r="R9" s="156"/>
      <c r="S9" s="73">
        <f t="shared" si="0"/>
        <v>0</v>
      </c>
    </row>
    <row r="10" spans="1:19" ht="12.75">
      <c r="A10" s="153">
        <v>9</v>
      </c>
      <c r="B10" s="145"/>
      <c r="C10" s="145"/>
      <c r="D10" s="145"/>
      <c r="E10" s="145"/>
      <c r="F10" s="150" t="s">
        <v>188</v>
      </c>
      <c r="G10" s="145"/>
      <c r="H10" s="145"/>
      <c r="I10" s="147" t="s">
        <v>181</v>
      </c>
      <c r="J10" s="145" t="s">
        <v>174</v>
      </c>
      <c r="K10" s="146" t="s">
        <v>172</v>
      </c>
      <c r="L10" s="145"/>
      <c r="M10" s="145"/>
      <c r="N10" s="149" t="s">
        <v>194</v>
      </c>
      <c r="O10" s="145"/>
      <c r="P10" s="145"/>
      <c r="Q10" s="145"/>
      <c r="R10" s="156"/>
      <c r="S10" s="73">
        <f t="shared" si="0"/>
        <v>0</v>
      </c>
    </row>
    <row r="11" spans="1:19" ht="12.75">
      <c r="A11" s="153">
        <v>10</v>
      </c>
      <c r="B11" s="145"/>
      <c r="C11" s="145"/>
      <c r="D11" s="145"/>
      <c r="E11" s="145"/>
      <c r="F11" s="145"/>
      <c r="G11" s="145" t="s">
        <v>189</v>
      </c>
      <c r="H11" s="145"/>
      <c r="I11" s="145"/>
      <c r="J11" s="146" t="s">
        <v>172</v>
      </c>
      <c r="K11" s="145" t="s">
        <v>174</v>
      </c>
      <c r="L11" s="147" t="s">
        <v>182</v>
      </c>
      <c r="M11" s="145"/>
      <c r="N11" s="145"/>
      <c r="O11" s="149" t="s">
        <v>196</v>
      </c>
      <c r="P11" s="145"/>
      <c r="Q11" s="145"/>
      <c r="R11" s="156"/>
      <c r="S11" s="73">
        <f t="shared" si="0"/>
        <v>0</v>
      </c>
    </row>
    <row r="12" spans="1:19" ht="12.75">
      <c r="A12" s="153">
        <v>11</v>
      </c>
      <c r="B12" s="145"/>
      <c r="C12" s="145"/>
      <c r="D12" s="145"/>
      <c r="E12" s="145"/>
      <c r="F12" s="145"/>
      <c r="G12" s="145"/>
      <c r="H12" s="150" t="s">
        <v>191</v>
      </c>
      <c r="I12" s="145"/>
      <c r="J12" s="145"/>
      <c r="K12" s="147" t="s">
        <v>182</v>
      </c>
      <c r="L12" s="145" t="s">
        <v>174</v>
      </c>
      <c r="M12" s="146" t="s">
        <v>173</v>
      </c>
      <c r="N12" s="145"/>
      <c r="O12" s="145"/>
      <c r="P12" s="149" t="s">
        <v>198</v>
      </c>
      <c r="Q12" s="145"/>
      <c r="R12" s="156"/>
      <c r="S12" s="73">
        <f t="shared" si="0"/>
        <v>0</v>
      </c>
    </row>
    <row r="13" spans="1:19" ht="12.75">
      <c r="A13" s="153">
        <v>12</v>
      </c>
      <c r="B13" s="145"/>
      <c r="C13" s="145"/>
      <c r="D13" s="145"/>
      <c r="E13" s="145"/>
      <c r="F13" s="145"/>
      <c r="G13" s="145"/>
      <c r="H13" s="145"/>
      <c r="I13" s="145" t="s">
        <v>193</v>
      </c>
      <c r="J13" s="145"/>
      <c r="K13" s="145"/>
      <c r="L13" s="146" t="s">
        <v>173</v>
      </c>
      <c r="M13" s="145" t="s">
        <v>174</v>
      </c>
      <c r="N13" s="147" t="s">
        <v>183</v>
      </c>
      <c r="O13" s="145"/>
      <c r="P13" s="145"/>
      <c r="Q13" s="149" t="s">
        <v>200</v>
      </c>
      <c r="R13" s="156"/>
      <c r="S13" s="73">
        <f t="shared" si="0"/>
        <v>0</v>
      </c>
    </row>
    <row r="14" spans="1:19" ht="12.75">
      <c r="A14" s="153">
        <v>13</v>
      </c>
      <c r="B14" s="145"/>
      <c r="C14" s="145"/>
      <c r="D14" s="145"/>
      <c r="E14" s="145"/>
      <c r="F14" s="145"/>
      <c r="G14" s="145"/>
      <c r="H14" s="145"/>
      <c r="I14" s="145"/>
      <c r="J14" s="149" t="s">
        <v>194</v>
      </c>
      <c r="K14" s="145"/>
      <c r="L14" s="145"/>
      <c r="M14" s="147" t="s">
        <v>183</v>
      </c>
      <c r="N14" s="145" t="s">
        <v>174</v>
      </c>
      <c r="O14" s="146" t="s">
        <v>175</v>
      </c>
      <c r="P14" s="145"/>
      <c r="Q14" s="145"/>
      <c r="R14" s="155" t="s">
        <v>195</v>
      </c>
      <c r="S14" s="73">
        <f>COUNTA($B14:$R14)-5</f>
        <v>0</v>
      </c>
    </row>
    <row r="15" spans="1:19" ht="12.75">
      <c r="A15" s="153">
        <v>14</v>
      </c>
      <c r="B15" s="145" t="s">
        <v>197</v>
      </c>
      <c r="C15" s="145"/>
      <c r="D15" s="145"/>
      <c r="E15" s="145"/>
      <c r="F15" s="145"/>
      <c r="G15" s="145"/>
      <c r="H15" s="145"/>
      <c r="I15" s="145"/>
      <c r="J15" s="145"/>
      <c r="K15" s="149" t="s">
        <v>196</v>
      </c>
      <c r="L15" s="145"/>
      <c r="M15" s="145"/>
      <c r="N15" s="146" t="s">
        <v>175</v>
      </c>
      <c r="O15" s="145" t="s">
        <v>174</v>
      </c>
      <c r="P15" s="147" t="s">
        <v>184</v>
      </c>
      <c r="Q15" s="145"/>
      <c r="R15" s="156"/>
      <c r="S15" s="73">
        <f>COUNTA($B15:$Q15)-5</f>
        <v>0</v>
      </c>
    </row>
    <row r="16" spans="1:19" ht="12.75">
      <c r="A16" s="153">
        <v>15</v>
      </c>
      <c r="B16" s="145"/>
      <c r="C16" s="145" t="s">
        <v>199</v>
      </c>
      <c r="D16" s="145"/>
      <c r="E16" s="145"/>
      <c r="F16" s="145"/>
      <c r="G16" s="145"/>
      <c r="H16" s="145"/>
      <c r="I16" s="145"/>
      <c r="J16" s="145"/>
      <c r="K16" s="145"/>
      <c r="L16" s="149" t="s">
        <v>198</v>
      </c>
      <c r="M16" s="145"/>
      <c r="N16" s="145"/>
      <c r="O16" s="147" t="s">
        <v>184</v>
      </c>
      <c r="P16" s="145" t="s">
        <v>174</v>
      </c>
      <c r="Q16" s="146" t="s">
        <v>176</v>
      </c>
      <c r="R16" s="155"/>
      <c r="S16" s="73">
        <f>COUNTA($B16:$R16)-5</f>
        <v>0</v>
      </c>
    </row>
    <row r="17" spans="1:19" ht="12.75">
      <c r="A17" s="153">
        <v>16</v>
      </c>
      <c r="B17" s="150"/>
      <c r="C17" s="150"/>
      <c r="D17" s="145" t="s">
        <v>201</v>
      </c>
      <c r="E17" s="145"/>
      <c r="F17" s="145"/>
      <c r="G17" s="145"/>
      <c r="H17" s="145"/>
      <c r="I17" s="145"/>
      <c r="J17" s="145"/>
      <c r="K17" s="145"/>
      <c r="L17" s="145"/>
      <c r="M17" s="149" t="s">
        <v>200</v>
      </c>
      <c r="N17" s="145"/>
      <c r="O17" s="145"/>
      <c r="P17" s="146" t="s">
        <v>176</v>
      </c>
      <c r="Q17" s="145" t="s">
        <v>174</v>
      </c>
      <c r="R17" s="157" t="s">
        <v>185</v>
      </c>
      <c r="S17" s="73">
        <f>COUNTA($B17:$R17)-5</f>
        <v>0</v>
      </c>
    </row>
    <row r="18" spans="1:19" ht="13.5" thickBot="1">
      <c r="A18" s="158">
        <v>17</v>
      </c>
      <c r="B18" s="159" t="s">
        <v>177</v>
      </c>
      <c r="C18" s="160"/>
      <c r="D18" s="160"/>
      <c r="E18" s="169" t="s">
        <v>202</v>
      </c>
      <c r="F18" s="160"/>
      <c r="G18" s="160"/>
      <c r="H18" s="160"/>
      <c r="I18" s="160"/>
      <c r="J18" s="160"/>
      <c r="K18" s="160"/>
      <c r="L18" s="160"/>
      <c r="M18" s="160"/>
      <c r="N18" s="161" t="s">
        <v>195</v>
      </c>
      <c r="O18" s="160"/>
      <c r="P18" s="161"/>
      <c r="Q18" s="162" t="s">
        <v>185</v>
      </c>
      <c r="R18" s="163" t="s">
        <v>174</v>
      </c>
      <c r="S18" s="73">
        <f>COUNTA($B18:$R18)-5</f>
        <v>0</v>
      </c>
    </row>
    <row r="19" spans="2:18" s="73" customFormat="1" ht="12.75">
      <c r="B19" s="73">
        <f aca="true" t="shared" si="1" ref="B19:M19">COUNTA(B$2:B$18)-5</f>
        <v>0</v>
      </c>
      <c r="C19" s="73">
        <f t="shared" si="1"/>
        <v>0</v>
      </c>
      <c r="D19" s="73">
        <f t="shared" si="1"/>
        <v>0</v>
      </c>
      <c r="E19" s="73">
        <f t="shared" si="1"/>
        <v>0</v>
      </c>
      <c r="F19" s="73">
        <f>COUNTA(F$2:F$18)-5</f>
        <v>0</v>
      </c>
      <c r="G19" s="73">
        <f t="shared" si="1"/>
        <v>0</v>
      </c>
      <c r="H19" s="73">
        <f t="shared" si="1"/>
        <v>0</v>
      </c>
      <c r="I19" s="73">
        <f t="shared" si="1"/>
        <v>0</v>
      </c>
      <c r="J19" s="73">
        <f t="shared" si="1"/>
        <v>0</v>
      </c>
      <c r="K19" s="73">
        <f t="shared" si="1"/>
        <v>0</v>
      </c>
      <c r="L19" s="73">
        <f t="shared" si="1"/>
        <v>0</v>
      </c>
      <c r="M19" s="73">
        <f t="shared" si="1"/>
        <v>0</v>
      </c>
      <c r="N19" s="73">
        <f>COUNTA(N$2:N$18)-5</f>
        <v>0</v>
      </c>
      <c r="O19" s="73">
        <f>COUNTA(O$2:O$17)-5</f>
        <v>0</v>
      </c>
      <c r="P19" s="73">
        <f>COUNTA(P$2:P$18)-5</f>
        <v>0</v>
      </c>
      <c r="Q19" s="73">
        <f>COUNTA(Q$2:Q$18)-5</f>
        <v>0</v>
      </c>
      <c r="R19" s="73">
        <f>COUNTA(R$2:R$18)-5</f>
        <v>0</v>
      </c>
    </row>
    <row r="21" spans="3:13" ht="12.75">
      <c r="C21" s="360" t="s">
        <v>203</v>
      </c>
      <c r="D21" s="360"/>
      <c r="F21" s="361" t="s">
        <v>204</v>
      </c>
      <c r="G21" s="361"/>
      <c r="I21" s="362" t="s">
        <v>205</v>
      </c>
      <c r="J21" s="362"/>
      <c r="L21" s="363" t="s">
        <v>206</v>
      </c>
      <c r="M21" s="363"/>
    </row>
    <row r="22" spans="2:13" ht="12.75">
      <c r="B22" s="73">
        <v>1</v>
      </c>
      <c r="C22" s="73">
        <v>1</v>
      </c>
      <c r="D22" s="73">
        <v>2</v>
      </c>
      <c r="F22" s="73">
        <v>2</v>
      </c>
      <c r="G22" s="73">
        <v>3</v>
      </c>
      <c r="I22" s="73">
        <v>1</v>
      </c>
      <c r="J22" s="73">
        <v>5</v>
      </c>
      <c r="L22" s="73">
        <v>5</v>
      </c>
      <c r="M22" s="73">
        <v>9</v>
      </c>
    </row>
    <row r="23" spans="2:13" ht="12.75">
      <c r="B23" s="73">
        <v>2</v>
      </c>
      <c r="C23" s="73">
        <v>3</v>
      </c>
      <c r="D23" s="73">
        <v>4</v>
      </c>
      <c r="F23" s="73">
        <v>4</v>
      </c>
      <c r="G23" s="73">
        <v>5</v>
      </c>
      <c r="I23" s="73">
        <v>2</v>
      </c>
      <c r="J23" s="73">
        <v>6</v>
      </c>
      <c r="L23" s="73">
        <v>6</v>
      </c>
      <c r="M23" s="73">
        <v>10</v>
      </c>
    </row>
    <row r="24" spans="2:13" ht="12.75">
      <c r="B24" s="73">
        <v>3</v>
      </c>
      <c r="C24" s="73">
        <v>5</v>
      </c>
      <c r="D24" s="73">
        <v>6</v>
      </c>
      <c r="F24" s="73">
        <v>6</v>
      </c>
      <c r="G24" s="73">
        <v>7</v>
      </c>
      <c r="I24" s="73">
        <v>3</v>
      </c>
      <c r="J24" s="73">
        <v>7</v>
      </c>
      <c r="L24" s="73">
        <v>7</v>
      </c>
      <c r="M24" s="73">
        <v>11</v>
      </c>
    </row>
    <row r="25" spans="2:13" ht="12.75">
      <c r="B25" s="73">
        <v>4</v>
      </c>
      <c r="C25" s="73">
        <v>7</v>
      </c>
      <c r="D25" s="73">
        <v>8</v>
      </c>
      <c r="F25" s="73">
        <v>8</v>
      </c>
      <c r="G25" s="73">
        <v>9</v>
      </c>
      <c r="I25" s="73">
        <v>4</v>
      </c>
      <c r="J25" s="73">
        <v>8</v>
      </c>
      <c r="L25" s="73">
        <v>8</v>
      </c>
      <c r="M25" s="73">
        <v>12</v>
      </c>
    </row>
    <row r="26" spans="2:13" ht="12.75">
      <c r="B26" s="73">
        <v>5</v>
      </c>
      <c r="C26" s="73">
        <v>9</v>
      </c>
      <c r="D26" s="73">
        <v>10</v>
      </c>
      <c r="F26" s="73">
        <v>10</v>
      </c>
      <c r="G26" s="73">
        <v>11</v>
      </c>
      <c r="I26" s="73">
        <v>9</v>
      </c>
      <c r="J26" s="73">
        <v>13</v>
      </c>
      <c r="L26" s="73">
        <v>13</v>
      </c>
      <c r="M26" s="73">
        <v>17</v>
      </c>
    </row>
    <row r="27" spans="2:13" ht="12.75">
      <c r="B27" s="73">
        <v>6</v>
      </c>
      <c r="C27" s="73">
        <v>11</v>
      </c>
      <c r="D27" s="73">
        <v>12</v>
      </c>
      <c r="F27" s="73">
        <v>12</v>
      </c>
      <c r="G27" s="73">
        <v>13</v>
      </c>
      <c r="I27" s="73">
        <v>10</v>
      </c>
      <c r="J27" s="73">
        <v>14</v>
      </c>
      <c r="L27" s="73">
        <v>14</v>
      </c>
      <c r="M27" s="73">
        <v>1</v>
      </c>
    </row>
    <row r="28" spans="2:13" ht="12.75">
      <c r="B28" s="73">
        <v>7</v>
      </c>
      <c r="C28" s="73">
        <v>13</v>
      </c>
      <c r="D28" s="73">
        <v>14</v>
      </c>
      <c r="F28" s="73">
        <v>14</v>
      </c>
      <c r="G28" s="73">
        <v>15</v>
      </c>
      <c r="I28" s="73">
        <v>11</v>
      </c>
      <c r="J28" s="73">
        <v>15</v>
      </c>
      <c r="L28" s="73">
        <v>15</v>
      </c>
      <c r="M28" s="73">
        <v>2</v>
      </c>
    </row>
    <row r="29" spans="2:13" ht="12.75">
      <c r="B29" s="73">
        <v>8</v>
      </c>
      <c r="C29" s="73">
        <v>15</v>
      </c>
      <c r="D29" s="73">
        <v>16</v>
      </c>
      <c r="F29" s="73">
        <v>16</v>
      </c>
      <c r="G29" s="73">
        <v>17</v>
      </c>
      <c r="I29" s="73">
        <v>12</v>
      </c>
      <c r="J29" s="73">
        <v>16</v>
      </c>
      <c r="L29" s="73">
        <v>16</v>
      </c>
      <c r="M29" s="73">
        <v>3</v>
      </c>
    </row>
    <row r="30" spans="2:10" ht="12.75">
      <c r="B30" s="73">
        <v>9</v>
      </c>
      <c r="C30" s="73">
        <v>17</v>
      </c>
      <c r="D30" s="73">
        <v>1</v>
      </c>
      <c r="I30" s="73">
        <v>4</v>
      </c>
      <c r="J30" s="73">
        <v>17</v>
      </c>
    </row>
  </sheetData>
  <mergeCells count="4">
    <mergeCell ref="C21:D21"/>
    <mergeCell ref="F21:G21"/>
    <mergeCell ref="I21:J21"/>
    <mergeCell ref="L21:M21"/>
  </mergeCells>
  <conditionalFormatting sqref="S1:S22 B19:R19">
    <cfRule type="cellIs" priority="1" dxfId="2" operator="equal" stopIfTrue="1">
      <formula>0</formula>
    </cfRule>
  </conditionalFormatting>
  <printOptions/>
  <pageMargins left="0.75" right="0.75" top="1" bottom="1" header="0.5" footer="0.5"/>
  <pageSetup horizontalDpi="300" verticalDpi="300" orientation="portrait" r:id="rId1"/>
  <headerFooter alignWithMargins="0">
    <oddFooter>&amp;L&amp;A&amp;C&amp;D&amp;R&amp;F</oddFooter>
  </headerFooter>
</worksheet>
</file>

<file path=xl/worksheets/sheet12.xml><?xml version="1.0" encoding="utf-8"?>
<worksheet xmlns="http://schemas.openxmlformats.org/spreadsheetml/2006/main" xmlns:r="http://schemas.openxmlformats.org/officeDocument/2006/relationships">
  <sheetPr codeName="Sheet10"/>
  <dimension ref="A1:S30"/>
  <sheetViews>
    <sheetView zoomScale="126" zoomScaleNormal="126" workbookViewId="0" topLeftCell="A1">
      <selection activeCell="A1" sqref="A1"/>
    </sheetView>
  </sheetViews>
  <sheetFormatPr defaultColWidth="9.140625" defaultRowHeight="12.75"/>
  <cols>
    <col min="1" max="18" width="4.421875" style="73" customWidth="1"/>
    <col min="19" max="19" width="9.140625" style="73" customWidth="1"/>
  </cols>
  <sheetData>
    <row r="1" spans="1:18" ht="12.75">
      <c r="A1" s="151"/>
      <c r="B1" s="164">
        <v>1</v>
      </c>
      <c r="C1" s="164">
        <v>2</v>
      </c>
      <c r="D1" s="164">
        <v>3</v>
      </c>
      <c r="E1" s="164">
        <v>4</v>
      </c>
      <c r="F1" s="164">
        <v>5</v>
      </c>
      <c r="G1" s="164">
        <v>6</v>
      </c>
      <c r="H1" s="164">
        <v>7</v>
      </c>
      <c r="I1" s="164">
        <v>8</v>
      </c>
      <c r="J1" s="164">
        <v>9</v>
      </c>
      <c r="K1" s="164">
        <v>10</v>
      </c>
      <c r="L1" s="164">
        <v>11</v>
      </c>
      <c r="M1" s="164">
        <v>12</v>
      </c>
      <c r="N1" s="164">
        <v>13</v>
      </c>
      <c r="O1" s="164">
        <v>14</v>
      </c>
      <c r="P1" s="164">
        <v>15</v>
      </c>
      <c r="Q1" s="164">
        <v>16</v>
      </c>
      <c r="R1" s="165">
        <v>17</v>
      </c>
    </row>
    <row r="2" spans="1:19" ht="12.75">
      <c r="A2" s="166">
        <v>1</v>
      </c>
      <c r="B2" s="145" t="s">
        <v>174</v>
      </c>
      <c r="C2" s="146" t="s">
        <v>168</v>
      </c>
      <c r="D2" s="149" t="s">
        <v>186</v>
      </c>
      <c r="E2" s="145"/>
      <c r="F2" s="145"/>
      <c r="G2" s="145"/>
      <c r="H2" s="145"/>
      <c r="I2" s="145"/>
      <c r="J2" s="145"/>
      <c r="K2" s="145"/>
      <c r="L2" s="145"/>
      <c r="M2" s="145"/>
      <c r="N2" s="145"/>
      <c r="O2" s="145"/>
      <c r="P2" s="145"/>
      <c r="Q2" s="145" t="s">
        <v>201</v>
      </c>
      <c r="R2" s="154" t="s">
        <v>177</v>
      </c>
      <c r="S2" s="73">
        <f aca="true" t="shared" si="0" ref="S2:S18">COUNTA($B2:$R2)-5</f>
        <v>0</v>
      </c>
    </row>
    <row r="3" spans="1:19" ht="12.75">
      <c r="A3" s="166">
        <v>2</v>
      </c>
      <c r="B3" s="146" t="s">
        <v>168</v>
      </c>
      <c r="C3" s="145" t="s">
        <v>174</v>
      </c>
      <c r="D3" s="147" t="s">
        <v>178</v>
      </c>
      <c r="E3" s="149" t="s">
        <v>187</v>
      </c>
      <c r="F3" s="145"/>
      <c r="G3" s="145"/>
      <c r="H3" s="145"/>
      <c r="I3" s="145"/>
      <c r="J3" s="145"/>
      <c r="K3" s="145"/>
      <c r="L3" s="145"/>
      <c r="M3" s="145"/>
      <c r="N3" s="145"/>
      <c r="O3" s="145"/>
      <c r="P3" s="145"/>
      <c r="Q3" s="150"/>
      <c r="R3" s="167" t="s">
        <v>202</v>
      </c>
      <c r="S3" s="73">
        <f>COUNTA($B3:$R3)-5</f>
        <v>0</v>
      </c>
    </row>
    <row r="4" spans="1:19" ht="12.75">
      <c r="A4" s="166">
        <v>3</v>
      </c>
      <c r="B4" s="149" t="s">
        <v>186</v>
      </c>
      <c r="C4" s="147" t="s">
        <v>178</v>
      </c>
      <c r="D4" s="145" t="s">
        <v>174</v>
      </c>
      <c r="E4" s="146" t="s">
        <v>169</v>
      </c>
      <c r="F4" s="150" t="s">
        <v>188</v>
      </c>
      <c r="G4" s="145"/>
      <c r="H4" s="145"/>
      <c r="I4" s="145"/>
      <c r="J4" s="145"/>
      <c r="K4" s="145"/>
      <c r="L4" s="145"/>
      <c r="M4" s="145"/>
      <c r="N4" s="145"/>
      <c r="O4" s="145"/>
      <c r="P4" s="145"/>
      <c r="Q4" s="145"/>
      <c r="R4" s="156"/>
      <c r="S4" s="73">
        <f>COUNTA($B4:$R4)-5</f>
        <v>0</v>
      </c>
    </row>
    <row r="5" spans="1:19" ht="12.75">
      <c r="A5" s="166">
        <v>4</v>
      </c>
      <c r="B5" s="145"/>
      <c r="C5" s="149" t="s">
        <v>187</v>
      </c>
      <c r="D5" s="146" t="s">
        <v>169</v>
      </c>
      <c r="E5" s="145" t="s">
        <v>174</v>
      </c>
      <c r="F5" s="147" t="s">
        <v>179</v>
      </c>
      <c r="G5" s="145" t="s">
        <v>189</v>
      </c>
      <c r="H5" s="145"/>
      <c r="I5" s="145"/>
      <c r="J5" s="145"/>
      <c r="K5" s="145"/>
      <c r="L5" s="145"/>
      <c r="M5" s="145"/>
      <c r="N5" s="145"/>
      <c r="O5" s="145"/>
      <c r="P5" s="145"/>
      <c r="Q5" s="145"/>
      <c r="R5" s="156"/>
      <c r="S5" s="73">
        <f t="shared" si="0"/>
        <v>0</v>
      </c>
    </row>
    <row r="6" spans="1:19" ht="12.75">
      <c r="A6" s="166">
        <v>5</v>
      </c>
      <c r="B6" s="145"/>
      <c r="C6" s="145"/>
      <c r="D6" s="150" t="s">
        <v>188</v>
      </c>
      <c r="E6" s="147" t="s">
        <v>179</v>
      </c>
      <c r="F6" s="145" t="s">
        <v>174</v>
      </c>
      <c r="G6" s="146" t="s">
        <v>170</v>
      </c>
      <c r="H6" s="149" t="s">
        <v>190</v>
      </c>
      <c r="I6" s="145"/>
      <c r="J6" s="145"/>
      <c r="K6" s="145"/>
      <c r="L6" s="145"/>
      <c r="M6" s="145"/>
      <c r="N6" s="145"/>
      <c r="O6" s="145"/>
      <c r="P6" s="145"/>
      <c r="Q6" s="145"/>
      <c r="R6" s="156"/>
      <c r="S6" s="73">
        <f t="shared" si="0"/>
        <v>0</v>
      </c>
    </row>
    <row r="7" spans="1:19" ht="12.75">
      <c r="A7" s="166">
        <v>6</v>
      </c>
      <c r="B7" s="145"/>
      <c r="C7" s="145"/>
      <c r="D7" s="145"/>
      <c r="E7" s="145" t="s">
        <v>189</v>
      </c>
      <c r="F7" s="146" t="s">
        <v>170</v>
      </c>
      <c r="G7" s="145" t="s">
        <v>174</v>
      </c>
      <c r="H7" s="147" t="s">
        <v>180</v>
      </c>
      <c r="I7" s="149" t="s">
        <v>192</v>
      </c>
      <c r="J7" s="145"/>
      <c r="K7" s="145"/>
      <c r="L7" s="145"/>
      <c r="M7" s="145"/>
      <c r="N7" s="145"/>
      <c r="O7" s="145"/>
      <c r="P7" s="145"/>
      <c r="Q7" s="145"/>
      <c r="R7" s="156"/>
      <c r="S7" s="73">
        <f t="shared" si="0"/>
        <v>0</v>
      </c>
    </row>
    <row r="8" spans="1:19" ht="12.75">
      <c r="A8" s="166">
        <v>7</v>
      </c>
      <c r="B8" s="145"/>
      <c r="C8" s="145"/>
      <c r="D8" s="145"/>
      <c r="E8" s="145"/>
      <c r="F8" s="149" t="s">
        <v>190</v>
      </c>
      <c r="G8" s="147" t="s">
        <v>180</v>
      </c>
      <c r="H8" s="145" t="s">
        <v>174</v>
      </c>
      <c r="I8" s="146" t="s">
        <v>171</v>
      </c>
      <c r="J8" s="150" t="s">
        <v>191</v>
      </c>
      <c r="K8" s="145"/>
      <c r="L8" s="145"/>
      <c r="M8" s="145"/>
      <c r="N8" s="145"/>
      <c r="O8" s="145"/>
      <c r="P8" s="145"/>
      <c r="Q8" s="145"/>
      <c r="R8" s="156"/>
      <c r="S8" s="73">
        <f t="shared" si="0"/>
        <v>0</v>
      </c>
    </row>
    <row r="9" spans="1:19" ht="12.75">
      <c r="A9" s="166">
        <v>8</v>
      </c>
      <c r="B9" s="145"/>
      <c r="C9" s="145"/>
      <c r="D9" s="145"/>
      <c r="E9" s="145"/>
      <c r="F9" s="145"/>
      <c r="G9" s="149" t="s">
        <v>192</v>
      </c>
      <c r="H9" s="146" t="s">
        <v>171</v>
      </c>
      <c r="I9" s="145" t="s">
        <v>174</v>
      </c>
      <c r="J9" s="147" t="s">
        <v>181</v>
      </c>
      <c r="K9" s="145" t="s">
        <v>193</v>
      </c>
      <c r="L9" s="145"/>
      <c r="M9" s="145"/>
      <c r="N9" s="145"/>
      <c r="O9" s="145"/>
      <c r="P9" s="145"/>
      <c r="Q9" s="145"/>
      <c r="R9" s="156"/>
      <c r="S9" s="73">
        <f t="shared" si="0"/>
        <v>0</v>
      </c>
    </row>
    <row r="10" spans="1:19" ht="12.75">
      <c r="A10" s="166">
        <v>9</v>
      </c>
      <c r="B10" s="145"/>
      <c r="C10" s="145"/>
      <c r="D10" s="145"/>
      <c r="E10" s="145"/>
      <c r="F10" s="145"/>
      <c r="G10" s="145"/>
      <c r="H10" s="150" t="s">
        <v>191</v>
      </c>
      <c r="I10" s="147" t="s">
        <v>181</v>
      </c>
      <c r="J10" s="145" t="s">
        <v>174</v>
      </c>
      <c r="K10" s="146" t="s">
        <v>172</v>
      </c>
      <c r="L10" s="149" t="s">
        <v>194</v>
      </c>
      <c r="M10" s="145"/>
      <c r="N10" s="145"/>
      <c r="O10" s="145"/>
      <c r="P10" s="145"/>
      <c r="Q10" s="145"/>
      <c r="R10" s="156"/>
      <c r="S10" s="73">
        <f t="shared" si="0"/>
        <v>0</v>
      </c>
    </row>
    <row r="11" spans="1:19" ht="12.75">
      <c r="A11" s="166">
        <v>10</v>
      </c>
      <c r="B11" s="145"/>
      <c r="C11" s="145"/>
      <c r="D11" s="145"/>
      <c r="E11" s="145"/>
      <c r="F11" s="145"/>
      <c r="G11" s="145"/>
      <c r="H11" s="145"/>
      <c r="I11" s="145" t="s">
        <v>193</v>
      </c>
      <c r="J11" s="146" t="s">
        <v>172</v>
      </c>
      <c r="K11" s="145" t="s">
        <v>174</v>
      </c>
      <c r="L11" s="147" t="s">
        <v>182</v>
      </c>
      <c r="M11" s="149" t="s">
        <v>196</v>
      </c>
      <c r="N11" s="145"/>
      <c r="O11" s="145"/>
      <c r="P11" s="145"/>
      <c r="Q11" s="145"/>
      <c r="R11" s="156"/>
      <c r="S11" s="73">
        <f t="shared" si="0"/>
        <v>0</v>
      </c>
    </row>
    <row r="12" spans="1:19" ht="12.75">
      <c r="A12" s="166">
        <v>11</v>
      </c>
      <c r="B12" s="145"/>
      <c r="C12" s="145"/>
      <c r="D12" s="145"/>
      <c r="E12" s="145"/>
      <c r="F12" s="145"/>
      <c r="G12" s="145"/>
      <c r="H12" s="145"/>
      <c r="I12" s="145"/>
      <c r="J12" s="149" t="s">
        <v>194</v>
      </c>
      <c r="K12" s="147" t="s">
        <v>182</v>
      </c>
      <c r="L12" s="145" t="s">
        <v>174</v>
      </c>
      <c r="M12" s="146" t="s">
        <v>173</v>
      </c>
      <c r="N12" s="150" t="s">
        <v>195</v>
      </c>
      <c r="O12" s="145"/>
      <c r="P12" s="145"/>
      <c r="Q12" s="145"/>
      <c r="R12" s="156"/>
      <c r="S12" s="73">
        <f t="shared" si="0"/>
        <v>0</v>
      </c>
    </row>
    <row r="13" spans="1:19" ht="12.75">
      <c r="A13" s="166">
        <v>12</v>
      </c>
      <c r="B13" s="145"/>
      <c r="C13" s="145"/>
      <c r="D13" s="145"/>
      <c r="E13" s="145"/>
      <c r="F13" s="145"/>
      <c r="G13" s="145"/>
      <c r="H13" s="145"/>
      <c r="I13" s="145"/>
      <c r="J13" s="145"/>
      <c r="K13" s="149" t="s">
        <v>196</v>
      </c>
      <c r="L13" s="146" t="s">
        <v>173</v>
      </c>
      <c r="M13" s="145" t="s">
        <v>174</v>
      </c>
      <c r="N13" s="147" t="s">
        <v>183</v>
      </c>
      <c r="O13" s="145" t="s">
        <v>197</v>
      </c>
      <c r="P13" s="145"/>
      <c r="Q13" s="145"/>
      <c r="R13" s="156"/>
      <c r="S13" s="73">
        <f t="shared" si="0"/>
        <v>0</v>
      </c>
    </row>
    <row r="14" spans="1:19" ht="12.75">
      <c r="A14" s="166">
        <v>13</v>
      </c>
      <c r="B14" s="145"/>
      <c r="C14" s="145"/>
      <c r="D14" s="145"/>
      <c r="E14" s="145"/>
      <c r="F14" s="145"/>
      <c r="G14" s="145"/>
      <c r="H14" s="145"/>
      <c r="I14" s="145"/>
      <c r="J14" s="145"/>
      <c r="K14" s="145"/>
      <c r="L14" s="150" t="s">
        <v>195</v>
      </c>
      <c r="M14" s="147" t="s">
        <v>183</v>
      </c>
      <c r="N14" s="145" t="s">
        <v>174</v>
      </c>
      <c r="O14" s="146" t="s">
        <v>175</v>
      </c>
      <c r="P14" s="149" t="s">
        <v>198</v>
      </c>
      <c r="Q14" s="145"/>
      <c r="R14" s="156"/>
      <c r="S14" s="73">
        <f t="shared" si="0"/>
        <v>0</v>
      </c>
    </row>
    <row r="15" spans="1:19" ht="12.75">
      <c r="A15" s="166">
        <v>14</v>
      </c>
      <c r="B15" s="145"/>
      <c r="C15" s="145"/>
      <c r="D15" s="145"/>
      <c r="E15" s="145"/>
      <c r="F15" s="145"/>
      <c r="G15" s="145"/>
      <c r="H15" s="145"/>
      <c r="I15" s="145"/>
      <c r="J15" s="145"/>
      <c r="K15" s="145"/>
      <c r="L15" s="145"/>
      <c r="M15" s="145" t="s">
        <v>197</v>
      </c>
      <c r="N15" s="146" t="s">
        <v>175</v>
      </c>
      <c r="O15" s="145" t="s">
        <v>174</v>
      </c>
      <c r="P15" s="147" t="s">
        <v>184</v>
      </c>
      <c r="Q15" s="149" t="s">
        <v>200</v>
      </c>
      <c r="R15" s="156"/>
      <c r="S15" s="73">
        <f>COUNTA($B15:$Q15)-5</f>
        <v>0</v>
      </c>
    </row>
    <row r="16" spans="1:19" ht="12.75">
      <c r="A16" s="166">
        <v>15</v>
      </c>
      <c r="B16" s="145"/>
      <c r="C16" s="145"/>
      <c r="D16" s="145"/>
      <c r="E16" s="145"/>
      <c r="F16" s="145"/>
      <c r="G16" s="145"/>
      <c r="H16" s="145"/>
      <c r="I16" s="145"/>
      <c r="J16" s="145"/>
      <c r="K16" s="145"/>
      <c r="L16" s="145"/>
      <c r="M16" s="145"/>
      <c r="N16" s="149" t="s">
        <v>198</v>
      </c>
      <c r="O16" s="147" t="s">
        <v>184</v>
      </c>
      <c r="P16" s="145" t="s">
        <v>174</v>
      </c>
      <c r="Q16" s="146" t="s">
        <v>176</v>
      </c>
      <c r="R16" s="155" t="s">
        <v>199</v>
      </c>
      <c r="S16" s="73">
        <f>COUNTA($B16:$R16)-5</f>
        <v>0</v>
      </c>
    </row>
    <row r="17" spans="1:19" ht="12.75">
      <c r="A17" s="166">
        <v>16</v>
      </c>
      <c r="B17" s="149" t="s">
        <v>202</v>
      </c>
      <c r="C17" s="150"/>
      <c r="D17" s="145"/>
      <c r="E17" s="145"/>
      <c r="F17" s="145"/>
      <c r="G17" s="145"/>
      <c r="H17" s="145"/>
      <c r="I17" s="145"/>
      <c r="J17" s="145"/>
      <c r="K17" s="145"/>
      <c r="L17" s="145"/>
      <c r="M17" s="145"/>
      <c r="N17" s="145"/>
      <c r="O17" s="149" t="s">
        <v>200</v>
      </c>
      <c r="P17" s="146" t="s">
        <v>176</v>
      </c>
      <c r="Q17" s="145" t="s">
        <v>174</v>
      </c>
      <c r="R17" s="157" t="s">
        <v>185</v>
      </c>
      <c r="S17" s="73">
        <f>COUNTA($B17:$R17)-5</f>
        <v>0</v>
      </c>
    </row>
    <row r="18" spans="1:19" ht="13.5" thickBot="1">
      <c r="A18" s="168">
        <v>17</v>
      </c>
      <c r="B18" s="159" t="s">
        <v>177</v>
      </c>
      <c r="C18" s="160" t="s">
        <v>201</v>
      </c>
      <c r="D18" s="160"/>
      <c r="E18" s="160"/>
      <c r="F18" s="160"/>
      <c r="G18" s="160"/>
      <c r="H18" s="160"/>
      <c r="I18" s="160"/>
      <c r="J18" s="160"/>
      <c r="K18" s="160"/>
      <c r="L18" s="160"/>
      <c r="M18" s="160"/>
      <c r="N18" s="160"/>
      <c r="O18" s="160"/>
      <c r="P18" s="161" t="s">
        <v>199</v>
      </c>
      <c r="Q18" s="162" t="s">
        <v>185</v>
      </c>
      <c r="R18" s="163" t="s">
        <v>174</v>
      </c>
      <c r="S18" s="73">
        <f t="shared" si="0"/>
        <v>0</v>
      </c>
    </row>
    <row r="19" spans="2:18" s="73" customFormat="1" ht="12.75">
      <c r="B19" s="73">
        <f aca="true" t="shared" si="1" ref="B19:R19">COUNTA(B$2:B$18)-5</f>
        <v>0</v>
      </c>
      <c r="C19" s="73">
        <f>COUNTA(C$2:C$18)-5</f>
        <v>0</v>
      </c>
      <c r="D19" s="73">
        <f>COUNTA(D$2:D$18)-5</f>
        <v>0</v>
      </c>
      <c r="E19" s="73">
        <f t="shared" si="1"/>
        <v>0</v>
      </c>
      <c r="F19" s="73">
        <f t="shared" si="1"/>
        <v>0</v>
      </c>
      <c r="G19" s="73">
        <f t="shared" si="1"/>
        <v>0</v>
      </c>
      <c r="H19" s="73">
        <f t="shared" si="1"/>
        <v>0</v>
      </c>
      <c r="I19" s="73">
        <f t="shared" si="1"/>
        <v>0</v>
      </c>
      <c r="J19" s="73">
        <f t="shared" si="1"/>
        <v>0</v>
      </c>
      <c r="K19" s="73">
        <f t="shared" si="1"/>
        <v>0</v>
      </c>
      <c r="L19" s="73">
        <f t="shared" si="1"/>
        <v>0</v>
      </c>
      <c r="M19" s="73">
        <f t="shared" si="1"/>
        <v>0</v>
      </c>
      <c r="N19" s="73">
        <f t="shared" si="1"/>
        <v>0</v>
      </c>
      <c r="O19" s="73">
        <f>COUNTA(O$2:O$17)-5</f>
        <v>0</v>
      </c>
      <c r="P19" s="73">
        <f>COUNTA(P$2:P$18)-5</f>
        <v>0</v>
      </c>
      <c r="Q19" s="73">
        <f>COUNTA(Q$2:Q$18)-5</f>
        <v>0</v>
      </c>
      <c r="R19" s="73">
        <f t="shared" si="1"/>
        <v>0</v>
      </c>
    </row>
    <row r="21" spans="3:13" ht="12.75">
      <c r="C21" s="360" t="s">
        <v>203</v>
      </c>
      <c r="D21" s="360"/>
      <c r="F21" s="361" t="s">
        <v>204</v>
      </c>
      <c r="G21" s="361"/>
      <c r="I21" s="362" t="s">
        <v>205</v>
      </c>
      <c r="J21" s="362"/>
      <c r="L21" s="363" t="s">
        <v>206</v>
      </c>
      <c r="M21" s="363"/>
    </row>
    <row r="22" spans="2:13" ht="12.75">
      <c r="B22" s="73">
        <v>1</v>
      </c>
      <c r="C22" s="73">
        <v>1</v>
      </c>
      <c r="D22" s="73">
        <v>2</v>
      </c>
      <c r="F22" s="73">
        <v>2</v>
      </c>
      <c r="G22" s="73">
        <v>3</v>
      </c>
      <c r="I22" s="73">
        <v>1</v>
      </c>
      <c r="J22" s="73">
        <v>3</v>
      </c>
      <c r="L22" s="73">
        <v>3</v>
      </c>
      <c r="M22" s="73">
        <v>5</v>
      </c>
    </row>
    <row r="23" spans="2:13" ht="12.75">
      <c r="B23" s="73">
        <v>2</v>
      </c>
      <c r="C23" s="73">
        <v>3</v>
      </c>
      <c r="D23" s="73">
        <v>4</v>
      </c>
      <c r="F23" s="73">
        <v>4</v>
      </c>
      <c r="G23" s="73">
        <v>5</v>
      </c>
      <c r="I23" s="73">
        <v>2</v>
      </c>
      <c r="J23" s="73">
        <v>4</v>
      </c>
      <c r="L23" s="73">
        <v>4</v>
      </c>
      <c r="M23" s="73">
        <v>6</v>
      </c>
    </row>
    <row r="24" spans="2:13" ht="12.75">
      <c r="B24" s="73">
        <v>3</v>
      </c>
      <c r="C24" s="73">
        <v>5</v>
      </c>
      <c r="D24" s="73">
        <v>6</v>
      </c>
      <c r="F24" s="73">
        <v>6</v>
      </c>
      <c r="G24" s="73">
        <v>7</v>
      </c>
      <c r="I24" s="73">
        <v>5</v>
      </c>
      <c r="J24" s="73">
        <v>7</v>
      </c>
      <c r="L24" s="73">
        <v>7</v>
      </c>
      <c r="M24" s="73">
        <v>9</v>
      </c>
    </row>
    <row r="25" spans="2:13" ht="12.75">
      <c r="B25" s="73">
        <v>4</v>
      </c>
      <c r="C25" s="73">
        <v>7</v>
      </c>
      <c r="D25" s="73">
        <v>8</v>
      </c>
      <c r="F25" s="73">
        <v>8</v>
      </c>
      <c r="G25" s="73">
        <v>9</v>
      </c>
      <c r="I25" s="73">
        <v>6</v>
      </c>
      <c r="J25" s="73">
        <v>8</v>
      </c>
      <c r="L25" s="73">
        <v>8</v>
      </c>
      <c r="M25" s="73">
        <v>10</v>
      </c>
    </row>
    <row r="26" spans="2:13" ht="12.75">
      <c r="B26" s="73">
        <v>5</v>
      </c>
      <c r="C26" s="73">
        <v>9</v>
      </c>
      <c r="D26" s="73">
        <v>10</v>
      </c>
      <c r="F26" s="73">
        <v>10</v>
      </c>
      <c r="G26" s="73">
        <v>11</v>
      </c>
      <c r="I26" s="73">
        <v>9</v>
      </c>
      <c r="J26" s="73">
        <v>11</v>
      </c>
      <c r="L26" s="73">
        <v>11</v>
      </c>
      <c r="M26" s="73">
        <v>13</v>
      </c>
    </row>
    <row r="27" spans="2:13" ht="12.75">
      <c r="B27" s="73">
        <v>6</v>
      </c>
      <c r="C27" s="73">
        <v>11</v>
      </c>
      <c r="D27" s="73">
        <v>12</v>
      </c>
      <c r="F27" s="73">
        <v>12</v>
      </c>
      <c r="G27" s="73">
        <v>13</v>
      </c>
      <c r="I27" s="73">
        <v>10</v>
      </c>
      <c r="J27" s="73">
        <v>12</v>
      </c>
      <c r="L27" s="73">
        <v>12</v>
      </c>
      <c r="M27" s="73">
        <v>14</v>
      </c>
    </row>
    <row r="28" spans="2:13" ht="12.75">
      <c r="B28" s="73">
        <v>7</v>
      </c>
      <c r="C28" s="73">
        <v>13</v>
      </c>
      <c r="D28" s="73">
        <v>14</v>
      </c>
      <c r="F28" s="73">
        <v>14</v>
      </c>
      <c r="G28" s="73">
        <v>15</v>
      </c>
      <c r="I28" s="73">
        <v>13</v>
      </c>
      <c r="J28" s="73">
        <v>15</v>
      </c>
      <c r="L28" s="73">
        <v>15</v>
      </c>
      <c r="M28" s="73">
        <v>17</v>
      </c>
    </row>
    <row r="29" spans="2:13" ht="12.75">
      <c r="B29" s="73">
        <v>8</v>
      </c>
      <c r="C29" s="73">
        <v>15</v>
      </c>
      <c r="D29" s="73">
        <v>16</v>
      </c>
      <c r="F29" s="73">
        <v>16</v>
      </c>
      <c r="G29" s="73">
        <v>17</v>
      </c>
      <c r="I29" s="73">
        <v>14</v>
      </c>
      <c r="J29" s="73">
        <v>16</v>
      </c>
      <c r="L29" s="73">
        <v>16</v>
      </c>
      <c r="M29" s="73">
        <v>1</v>
      </c>
    </row>
    <row r="30" spans="2:10" ht="12.75">
      <c r="B30" s="73">
        <v>9</v>
      </c>
      <c r="C30" s="73">
        <v>17</v>
      </c>
      <c r="D30" s="73">
        <v>1</v>
      </c>
      <c r="I30" s="73">
        <v>2</v>
      </c>
      <c r="J30" s="73">
        <v>17</v>
      </c>
    </row>
  </sheetData>
  <mergeCells count="4">
    <mergeCell ref="C21:D21"/>
    <mergeCell ref="F21:G21"/>
    <mergeCell ref="I21:J21"/>
    <mergeCell ref="L21:M21"/>
  </mergeCells>
  <conditionalFormatting sqref="S1:S22 B19:R19">
    <cfRule type="cellIs" priority="1" dxfId="2" operator="equal" stopIfTrue="1">
      <formula>0</formula>
    </cfRule>
  </conditionalFormatting>
  <printOptions/>
  <pageMargins left="0.75" right="0.75" top="1" bottom="1" header="0.5" footer="0.5"/>
  <pageSetup horizontalDpi="300" verticalDpi="300" orientation="portrait" r:id="rId1"/>
  <headerFooter alignWithMargins="0">
    <oddFooter>&amp;L&amp;A&amp;C&amp;D&amp;R&amp;F</oddFooter>
  </headerFooter>
</worksheet>
</file>

<file path=xl/worksheets/sheet13.xml><?xml version="1.0" encoding="utf-8"?>
<worksheet xmlns="http://schemas.openxmlformats.org/spreadsheetml/2006/main" xmlns:r="http://schemas.openxmlformats.org/officeDocument/2006/relationships">
  <sheetPr codeName="Sheet11"/>
  <dimension ref="A3:F34"/>
  <sheetViews>
    <sheetView workbookViewId="0" topLeftCell="A12">
      <selection activeCell="B28" sqref="B28"/>
    </sheetView>
  </sheetViews>
  <sheetFormatPr defaultColWidth="9.140625" defaultRowHeight="12.75"/>
  <cols>
    <col min="1" max="1" width="9.140625" style="73" customWidth="1"/>
    <col min="2" max="2" width="13.140625" style="73" customWidth="1"/>
    <col min="3" max="3" width="19.00390625" style="73" customWidth="1"/>
    <col min="4" max="4" width="68.57421875" style="74" customWidth="1"/>
    <col min="5" max="5" width="15.421875" style="0" customWidth="1"/>
    <col min="6" max="6" width="40.140625" style="0" customWidth="1"/>
  </cols>
  <sheetData>
    <row r="3" spans="1:5" ht="12.75">
      <c r="A3" s="82" t="s">
        <v>58</v>
      </c>
      <c r="B3" s="82" t="s">
        <v>59</v>
      </c>
      <c r="C3" s="82" t="s">
        <v>60</v>
      </c>
      <c r="D3" s="83" t="s">
        <v>61</v>
      </c>
      <c r="E3" s="82" t="s">
        <v>128</v>
      </c>
    </row>
    <row r="4" spans="1:6" ht="18">
      <c r="A4" s="81" t="s">
        <v>79</v>
      </c>
      <c r="E4" t="s">
        <v>62</v>
      </c>
      <c r="F4" t="s">
        <v>129</v>
      </c>
    </row>
    <row r="5" spans="1:6" ht="12.75">
      <c r="A5" s="73">
        <v>1.1</v>
      </c>
      <c r="B5" s="75">
        <v>37865</v>
      </c>
      <c r="C5" s="73" t="s">
        <v>62</v>
      </c>
      <c r="D5" s="74" t="s">
        <v>63</v>
      </c>
      <c r="E5" t="s">
        <v>64</v>
      </c>
      <c r="F5" t="s">
        <v>130</v>
      </c>
    </row>
    <row r="6" spans="1:6" ht="12.75">
      <c r="A6" s="73">
        <v>1.2</v>
      </c>
      <c r="C6" s="73" t="s">
        <v>64</v>
      </c>
      <c r="E6" t="s">
        <v>67</v>
      </c>
      <c r="F6" t="s">
        <v>131</v>
      </c>
    </row>
    <row r="7" spans="1:6" ht="12.75">
      <c r="A7" s="73">
        <v>1.3</v>
      </c>
      <c r="C7" s="73" t="s">
        <v>64</v>
      </c>
      <c r="E7" t="s">
        <v>132</v>
      </c>
      <c r="F7" t="s">
        <v>133</v>
      </c>
    </row>
    <row r="8" spans="1:6" ht="12.75">
      <c r="A8" s="73">
        <v>1.4</v>
      </c>
      <c r="B8" s="76">
        <v>37936</v>
      </c>
      <c r="C8" s="73" t="s">
        <v>64</v>
      </c>
      <c r="D8" s="74" t="s">
        <v>65</v>
      </c>
      <c r="E8" t="s">
        <v>134</v>
      </c>
      <c r="F8" t="s">
        <v>130</v>
      </c>
    </row>
    <row r="9" spans="1:6" ht="12.75">
      <c r="A9" s="73">
        <v>1.5</v>
      </c>
      <c r="B9" s="76">
        <v>37936</v>
      </c>
      <c r="C9" s="73" t="s">
        <v>64</v>
      </c>
      <c r="D9" s="74" t="s">
        <v>66</v>
      </c>
      <c r="E9" t="s">
        <v>144</v>
      </c>
      <c r="F9" t="s">
        <v>145</v>
      </c>
    </row>
    <row r="10" spans="1:4" ht="25.5">
      <c r="A10" s="73">
        <v>1.6</v>
      </c>
      <c r="B10" s="76">
        <v>37940</v>
      </c>
      <c r="C10" s="73" t="s">
        <v>67</v>
      </c>
      <c r="D10" s="74" t="s">
        <v>68</v>
      </c>
    </row>
    <row r="11" spans="1:4" ht="25.5">
      <c r="A11" s="73">
        <v>1.7</v>
      </c>
      <c r="B11" s="76">
        <v>37940</v>
      </c>
      <c r="C11" s="73" t="s">
        <v>67</v>
      </c>
      <c r="D11" s="74" t="s">
        <v>69</v>
      </c>
    </row>
    <row r="12" spans="1:3" ht="18">
      <c r="A12" s="364" t="s">
        <v>78</v>
      </c>
      <c r="B12" s="364"/>
      <c r="C12" s="364"/>
    </row>
    <row r="13" spans="1:4" ht="12.75">
      <c r="A13" s="73">
        <v>1.1</v>
      </c>
      <c r="B13" s="76">
        <v>38261</v>
      </c>
      <c r="C13" s="135" t="s">
        <v>146</v>
      </c>
      <c r="D13" s="74" t="s">
        <v>70</v>
      </c>
    </row>
    <row r="14" spans="1:4" ht="12.75">
      <c r="A14" s="73">
        <v>1.2</v>
      </c>
      <c r="B14" s="76">
        <v>38261</v>
      </c>
      <c r="C14" s="73" t="s">
        <v>67</v>
      </c>
      <c r="D14" s="74" t="s">
        <v>71</v>
      </c>
    </row>
    <row r="15" spans="1:4" ht="28.5" customHeight="1">
      <c r="A15" s="73">
        <v>1.3</v>
      </c>
      <c r="B15" s="76">
        <v>38263</v>
      </c>
      <c r="C15" s="80" t="s">
        <v>77</v>
      </c>
      <c r="D15" s="74" t="s">
        <v>76</v>
      </c>
    </row>
    <row r="16" spans="1:4" ht="12" customHeight="1">
      <c r="A16" s="73">
        <v>1.4</v>
      </c>
      <c r="B16" s="76">
        <v>38267</v>
      </c>
      <c r="C16" s="73" t="s">
        <v>114</v>
      </c>
      <c r="D16" s="74" t="s">
        <v>115</v>
      </c>
    </row>
    <row r="17" spans="1:4" ht="12" customHeight="1">
      <c r="A17" s="73">
        <v>1.5</v>
      </c>
      <c r="B17" s="76">
        <v>38268</v>
      </c>
      <c r="C17" s="73" t="s">
        <v>114</v>
      </c>
      <c r="D17" s="74" t="s">
        <v>116</v>
      </c>
    </row>
    <row r="18" spans="1:4" ht="25.5" customHeight="1">
      <c r="A18" s="73">
        <v>1.6</v>
      </c>
      <c r="B18" s="76">
        <v>38268</v>
      </c>
      <c r="C18" s="73" t="s">
        <v>114</v>
      </c>
      <c r="D18" s="74" t="s">
        <v>123</v>
      </c>
    </row>
    <row r="19" spans="1:4" ht="38.25">
      <c r="A19" s="73">
        <v>1.7</v>
      </c>
      <c r="B19" s="76">
        <v>38269</v>
      </c>
      <c r="C19" s="73" t="s">
        <v>139</v>
      </c>
      <c r="D19" s="74" t="s">
        <v>140</v>
      </c>
    </row>
    <row r="20" spans="1:4" ht="25.5">
      <c r="A20" s="73">
        <v>1.8</v>
      </c>
      <c r="B20" s="76">
        <v>38269</v>
      </c>
      <c r="C20" s="135" t="s">
        <v>146</v>
      </c>
      <c r="D20" s="74" t="s">
        <v>143</v>
      </c>
    </row>
    <row r="21" spans="1:4" ht="12.75">
      <c r="A21" s="73">
        <v>1.9</v>
      </c>
      <c r="B21" s="76">
        <v>38276</v>
      </c>
      <c r="C21" s="73" t="s">
        <v>114</v>
      </c>
      <c r="D21" s="74" t="s">
        <v>149</v>
      </c>
    </row>
    <row r="22" spans="1:4" ht="25.5">
      <c r="A22" s="73" t="s">
        <v>156</v>
      </c>
      <c r="B22" s="76">
        <v>38277</v>
      </c>
      <c r="C22" s="73" t="s">
        <v>114</v>
      </c>
      <c r="D22" s="74" t="s">
        <v>159</v>
      </c>
    </row>
    <row r="23" spans="1:4" ht="12.75">
      <c r="A23" s="73">
        <v>1.11</v>
      </c>
      <c r="B23" s="76">
        <v>38297</v>
      </c>
      <c r="C23" s="73" t="s">
        <v>114</v>
      </c>
      <c r="D23" s="74" t="s">
        <v>232</v>
      </c>
    </row>
    <row r="24" spans="1:4" ht="12.75">
      <c r="A24" s="73">
        <v>1.12</v>
      </c>
      <c r="B24" s="76">
        <v>38302</v>
      </c>
      <c r="C24" s="73" t="s">
        <v>114</v>
      </c>
      <c r="D24" s="74" t="s">
        <v>242</v>
      </c>
    </row>
    <row r="25" spans="1:4" ht="12.75" customHeight="1">
      <c r="A25" s="73">
        <v>1.13</v>
      </c>
      <c r="B25" s="76">
        <v>38302</v>
      </c>
      <c r="C25" s="73" t="s">
        <v>114</v>
      </c>
      <c r="D25" s="74" t="s">
        <v>246</v>
      </c>
    </row>
    <row r="26" spans="1:4" ht="12.75" customHeight="1">
      <c r="A26" s="73">
        <v>1.14</v>
      </c>
      <c r="B26" s="76">
        <v>38302</v>
      </c>
      <c r="C26" s="73" t="s">
        <v>114</v>
      </c>
      <c r="D26" s="74" t="s">
        <v>256</v>
      </c>
    </row>
    <row r="27" spans="1:4" ht="12.75" customHeight="1">
      <c r="A27" s="73">
        <v>1.15</v>
      </c>
      <c r="B27" s="76">
        <v>38303</v>
      </c>
      <c r="C27" s="73" t="s">
        <v>114</v>
      </c>
      <c r="D27" s="74" t="s">
        <v>280</v>
      </c>
    </row>
    <row r="28" spans="1:4" ht="12.75">
      <c r="A28" s="73">
        <v>1.16</v>
      </c>
      <c r="B28" s="76">
        <v>38304</v>
      </c>
      <c r="C28" s="73" t="s">
        <v>114</v>
      </c>
      <c r="D28" s="74" t="s">
        <v>284</v>
      </c>
    </row>
    <row r="30" spans="1:3" ht="18">
      <c r="A30" s="364" t="s">
        <v>125</v>
      </c>
      <c r="B30" s="364"/>
      <c r="C30" s="364"/>
    </row>
    <row r="31" spans="2:4" ht="25.5">
      <c r="B31" s="76">
        <v>38268</v>
      </c>
      <c r="C31" s="73" t="s">
        <v>114</v>
      </c>
      <c r="D31" s="74" t="s">
        <v>126</v>
      </c>
    </row>
    <row r="32" spans="2:4" ht="38.25">
      <c r="B32" s="76">
        <v>38268</v>
      </c>
      <c r="C32" s="73" t="s">
        <v>114</v>
      </c>
      <c r="D32" s="74" t="s">
        <v>127</v>
      </c>
    </row>
    <row r="33" spans="2:4" ht="25.5">
      <c r="B33" s="76">
        <v>38269</v>
      </c>
      <c r="C33" s="73" t="s">
        <v>137</v>
      </c>
      <c r="D33" s="74" t="s">
        <v>138</v>
      </c>
    </row>
    <row r="34" spans="2:4" ht="25.5">
      <c r="B34" s="76">
        <v>38269</v>
      </c>
      <c r="C34" s="73" t="s">
        <v>114</v>
      </c>
      <c r="D34" s="74" t="s">
        <v>147</v>
      </c>
    </row>
  </sheetData>
  <mergeCells count="2">
    <mergeCell ref="A30:C30"/>
    <mergeCell ref="A12:C12"/>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Y158"/>
  <sheetViews>
    <sheetView zoomScale="50" zoomScaleNormal="50" workbookViewId="0" topLeftCell="A1">
      <pane ySplit="5" topLeftCell="BM6" activePane="bottomLeft" state="frozen"/>
      <selection pane="topLeft" activeCell="A1" sqref="A1"/>
      <selection pane="bottomLeft" activeCell="E4" sqref="E4"/>
    </sheetView>
  </sheetViews>
  <sheetFormatPr defaultColWidth="9.140625" defaultRowHeight="12.75"/>
  <cols>
    <col min="1" max="1" width="5.140625" style="56" customWidth="1"/>
    <col min="2" max="2" width="9.28125" style="55" customWidth="1"/>
    <col min="3" max="3" width="9.140625" style="55" customWidth="1"/>
    <col min="4" max="4" width="35.00390625" style="56" customWidth="1"/>
    <col min="5" max="5" width="12.421875" style="55" bestFit="1" customWidth="1"/>
    <col min="6" max="7" width="8.421875" style="55" customWidth="1"/>
    <col min="8" max="8" width="8.00390625" style="55" customWidth="1"/>
    <col min="9" max="20" width="8.421875" style="55" customWidth="1"/>
    <col min="21" max="25" width="9.140625" style="57" customWidth="1"/>
    <col min="26" max="16384" width="9.140625" style="55" customWidth="1"/>
  </cols>
  <sheetData>
    <row r="1" spans="1:20" s="17" customFormat="1" ht="1.5" customHeight="1" thickBot="1">
      <c r="A1" s="18"/>
      <c r="D1" s="18"/>
      <c r="E1" s="19"/>
      <c r="F1" s="19"/>
      <c r="G1" s="19"/>
      <c r="H1" s="19"/>
      <c r="I1" s="19"/>
      <c r="J1" s="19"/>
      <c r="K1" s="19"/>
      <c r="L1" s="19"/>
      <c r="M1" s="19"/>
      <c r="N1" s="19"/>
      <c r="O1" s="19"/>
      <c r="P1" s="19"/>
      <c r="Q1" s="19"/>
      <c r="R1" s="19"/>
      <c r="S1" s="19"/>
      <c r="T1" s="19"/>
    </row>
    <row r="2" spans="1:20" s="17" customFormat="1" ht="123" customHeight="1" thickBot="1">
      <c r="A2" s="18"/>
      <c r="B2" s="20"/>
      <c r="C2" s="21"/>
      <c r="D2" s="21"/>
      <c r="E2" s="22"/>
      <c r="F2" s="23" t="s">
        <v>20</v>
      </c>
      <c r="G2" s="24" t="s">
        <v>21</v>
      </c>
      <c r="H2" s="24" t="s">
        <v>22</v>
      </c>
      <c r="I2" s="25" t="s">
        <v>23</v>
      </c>
      <c r="J2" s="25" t="s">
        <v>24</v>
      </c>
      <c r="K2" s="25" t="s">
        <v>25</v>
      </c>
      <c r="L2" s="26" t="s">
        <v>26</v>
      </c>
      <c r="M2" s="27" t="s">
        <v>27</v>
      </c>
      <c r="N2" s="25" t="s">
        <v>28</v>
      </c>
      <c r="O2" s="77" t="s">
        <v>29</v>
      </c>
      <c r="P2" s="77" t="s">
        <v>30</v>
      </c>
      <c r="Q2" s="78" t="s">
        <v>74</v>
      </c>
      <c r="R2" s="79" t="s">
        <v>31</v>
      </c>
      <c r="S2" s="79" t="s">
        <v>32</v>
      </c>
      <c r="T2" s="25" t="s">
        <v>33</v>
      </c>
    </row>
    <row r="3" spans="1:20" s="17" customFormat="1" ht="21.75" customHeight="1" thickBot="1">
      <c r="A3" s="18"/>
      <c r="B3" s="28" t="s">
        <v>34</v>
      </c>
      <c r="D3" s="29"/>
      <c r="E3" s="30" t="s">
        <v>35</v>
      </c>
      <c r="F3" s="31" t="s">
        <v>36</v>
      </c>
      <c r="G3" s="310" t="s">
        <v>37</v>
      </c>
      <c r="H3" s="311"/>
      <c r="I3" s="312" t="s">
        <v>38</v>
      </c>
      <c r="J3" s="313"/>
      <c r="K3" s="314"/>
      <c r="L3" s="315" t="s">
        <v>39</v>
      </c>
      <c r="M3" s="316"/>
      <c r="N3" s="31" t="s">
        <v>40</v>
      </c>
      <c r="O3" s="317" t="s">
        <v>41</v>
      </c>
      <c r="P3" s="318"/>
      <c r="Q3" s="31" t="s">
        <v>73</v>
      </c>
      <c r="R3" s="308" t="s">
        <v>42</v>
      </c>
      <c r="S3" s="309"/>
      <c r="T3" s="31" t="s">
        <v>43</v>
      </c>
    </row>
    <row r="4" spans="1:20" s="17" customFormat="1" ht="23.25" customHeight="1" thickBot="1">
      <c r="A4" s="18"/>
      <c r="B4" s="32" t="s">
        <v>44</v>
      </c>
      <c r="D4" s="33"/>
      <c r="E4" s="34">
        <v>400</v>
      </c>
      <c r="F4" s="35">
        <v>40</v>
      </c>
      <c r="G4" s="35">
        <v>40</v>
      </c>
      <c r="H4" s="35">
        <v>35</v>
      </c>
      <c r="I4" s="36">
        <v>50</v>
      </c>
      <c r="J4" s="36" t="s">
        <v>45</v>
      </c>
      <c r="K4" s="36" t="s">
        <v>46</v>
      </c>
      <c r="L4" s="36">
        <v>45</v>
      </c>
      <c r="M4" s="36">
        <v>40</v>
      </c>
      <c r="N4" s="36" t="s">
        <v>47</v>
      </c>
      <c r="O4" s="36">
        <v>35</v>
      </c>
      <c r="P4" s="36">
        <v>20</v>
      </c>
      <c r="Q4" s="36">
        <v>35</v>
      </c>
      <c r="R4" s="36">
        <v>45</v>
      </c>
      <c r="S4" s="36">
        <v>35</v>
      </c>
      <c r="T4" s="36" t="s">
        <v>75</v>
      </c>
    </row>
    <row r="5" spans="1:25" s="46" customFormat="1" ht="17.25" customHeight="1" thickBot="1">
      <c r="A5" s="37" t="s">
        <v>48</v>
      </c>
      <c r="B5" s="38" t="s">
        <v>49</v>
      </c>
      <c r="C5" s="39" t="s">
        <v>50</v>
      </c>
      <c r="D5" s="40" t="s">
        <v>51</v>
      </c>
      <c r="E5" s="41"/>
      <c r="F5" s="42"/>
      <c r="G5" s="304">
        <f>IF(OR((AND(G6="y",H6="y")),(AND(G7="y",H7="y"))),"Too Many CDs","")</f>
      </c>
      <c r="H5" s="304"/>
      <c r="I5" s="304">
        <f>IF(AND(I6="Y",I7="Y"),"Too Many Balls In Center",IF((IF(I6="Y",1,IF(I7="Y",1,0))+J7+K7+J6+K6)&gt;16,"Too Many Balls",""))</f>
      </c>
      <c r="J5" s="305"/>
      <c r="K5" s="305"/>
      <c r="L5" s="304">
        <f>IF(OR((AND(L6="y",M6="y")),(AND(L7="y",M7="y"))),"Not Both Stairs","")</f>
      </c>
      <c r="M5" s="304"/>
      <c r="N5" s="43"/>
      <c r="O5" s="304">
        <f>IF(OR((AND(O6="y",P6="y")),(AND(O7="y",P7="y"))),"Not Both Positions","")</f>
      </c>
      <c r="P5" s="304"/>
      <c r="Q5" s="43"/>
      <c r="R5" s="304">
        <f>IF(OR((AND(R6="y",S6="y")),(AND(R7="y",S7="y"))),"Too Much Food","")</f>
      </c>
      <c r="S5" s="304"/>
      <c r="T5" s="44"/>
      <c r="U5" s="45"/>
      <c r="V5" s="45"/>
      <c r="W5" s="45"/>
      <c r="X5" s="45"/>
      <c r="Y5" s="45"/>
    </row>
    <row r="6" spans="1:20" s="17" customFormat="1" ht="24.75" customHeight="1" thickBot="1">
      <c r="A6" s="132">
        <v>0</v>
      </c>
      <c r="B6" s="47">
        <v>1</v>
      </c>
      <c r="C6" s="48"/>
      <c r="D6" s="49" t="s">
        <v>52</v>
      </c>
      <c r="E6" s="133">
        <f>(IF(F6="y",$F$4,0))+(IF(G6="y",$G$4,0))+(IF(H6="y",$H$4,0))+(IF(I6="y",$I$4,0))+(IF((0&lt;J6)*(J6&lt;=16),J6*5,0))+(IF((0&lt;K6)*(K6&lt;=16),K6*2,0))+(IF(L6="y",$L$4,0))+(IF(M6="y",$M$4,0))+(IF((N6&gt;0)*(N6&lt;=3),N6*15,0))+(IF(O6="y",$O$4,0))+(IF(P6="y",$P$4,0))+(IF(Q6="y",$Q$4,0))+(IF(R6="y",$R$4,0))+(IF(S6="y",$S$4,0))+(IF((T6&gt;0)*(T6&lt;=3),T6*10,0))</f>
        <v>400</v>
      </c>
      <c r="F6" s="51" t="s">
        <v>142</v>
      </c>
      <c r="G6" s="51" t="s">
        <v>142</v>
      </c>
      <c r="H6" s="51"/>
      <c r="I6" s="51" t="s">
        <v>142</v>
      </c>
      <c r="J6" s="51">
        <v>7</v>
      </c>
      <c r="K6" s="51"/>
      <c r="L6" s="51" t="s">
        <v>142</v>
      </c>
      <c r="M6" s="51"/>
      <c r="N6" s="51">
        <v>3</v>
      </c>
      <c r="O6" s="51" t="s">
        <v>142</v>
      </c>
      <c r="P6" s="51"/>
      <c r="Q6" s="51" t="s">
        <v>142</v>
      </c>
      <c r="R6" s="51" t="s">
        <v>142</v>
      </c>
      <c r="S6" s="51"/>
      <c r="T6" s="51">
        <v>3</v>
      </c>
    </row>
    <row r="7" spans="1:20" s="17" customFormat="1" ht="24.75" customHeight="1" thickBot="1">
      <c r="A7" s="131"/>
      <c r="B7" s="52">
        <v>2</v>
      </c>
      <c r="C7" s="53"/>
      <c r="D7" s="87"/>
      <c r="E7" s="133">
        <f>(IF(F7="y",$F$4,0))+(IF(G7="y",$G$4,0))+(IF(H7="y",$H$4,0))+(IF(I7="y",$I$4,0))+(IF((0&lt;J7)*(J7&lt;=16),J7*5,0))+(IF((0&lt;K7)*(K7&lt;=16),K7*2,0))+(IF(L7="y",$L$4,0))+(IF(M7="y",$M$4,0))+(IF((N7&gt;0)*(N7&lt;=3),N7*15,0))+(IF(O7="y",$O$4,0))+(IF(P7="y",$P$4,0))+(IF(Q7="y",$Q$4,0))+(IF(R7="y",$R$4,0))+(IF(S7="y",$S$4,0))+(IF((T7&gt;0)*(T7&lt;=3),T7*10,0))</f>
        <v>0</v>
      </c>
      <c r="F7" s="51"/>
      <c r="G7" s="51"/>
      <c r="H7" s="51"/>
      <c r="I7" s="51"/>
      <c r="J7" s="51"/>
      <c r="K7" s="51"/>
      <c r="L7" s="51"/>
      <c r="M7" s="51"/>
      <c r="N7" s="51"/>
      <c r="O7" s="51"/>
      <c r="P7" s="51"/>
      <c r="Q7" s="51"/>
      <c r="R7" s="51"/>
      <c r="S7" s="51"/>
      <c r="T7" s="51"/>
    </row>
    <row r="8" spans="1:25" s="54" customFormat="1" ht="17.25" customHeight="1" thickBot="1">
      <c r="A8" s="37" t="s">
        <v>48</v>
      </c>
      <c r="B8" s="38" t="s">
        <v>49</v>
      </c>
      <c r="C8" s="39" t="s">
        <v>50</v>
      </c>
      <c r="D8" s="40" t="s">
        <v>51</v>
      </c>
      <c r="E8" s="134"/>
      <c r="F8" s="42"/>
      <c r="G8" s="304">
        <f>IF(OR((AND(G9="y",H9="y")),(AND(G10="y",H10="y"))),"Too Many CDs","")</f>
      </c>
      <c r="H8" s="304"/>
      <c r="I8" s="304">
        <f>IF(AND(I9="Y",I10="Y"),"Too Many Balls In Center",IF((IF(I9="Y",1,IF(I10="Y",1,0))+J10+K10+J9+K9)&gt;16,"Too Many Balls",""))</f>
      </c>
      <c r="J8" s="305"/>
      <c r="K8" s="305"/>
      <c r="L8" s="304">
        <f>IF(OR((AND(L9="y",M9="y")),(AND(L10="y",M10="y"))),"Not Both Stairs","")</f>
      </c>
      <c r="M8" s="304"/>
      <c r="N8" s="43"/>
      <c r="O8" s="304"/>
      <c r="P8" s="304"/>
      <c r="Q8" s="43"/>
      <c r="R8" s="304">
        <f>IF(OR((AND(R9="y",S9="y")),(AND(R10="y",S10="y"))),"Too Much Food","")</f>
      </c>
      <c r="S8" s="304"/>
      <c r="T8" s="44"/>
      <c r="U8" s="17"/>
      <c r="V8" s="17"/>
      <c r="W8" s="17"/>
      <c r="X8" s="17"/>
      <c r="Y8" s="17"/>
    </row>
    <row r="9" spans="1:20" s="17" customFormat="1" ht="24.75" customHeight="1" thickBot="1">
      <c r="A9" s="132">
        <f>A6+1</f>
        <v>1</v>
      </c>
      <c r="B9" s="47">
        <v>1</v>
      </c>
      <c r="C9" s="48"/>
      <c r="D9" s="87"/>
      <c r="E9" s="133">
        <f>(IF(F9="y",$F$4,0))+(IF(G9="y",$G$4,0))+(IF(H9="y",$H$4,0))+(IF(I9="y",$I$4,0))+(IF((0&lt;J9)*(J9&lt;=16),J9*5,0))+(IF((0&lt;K9)*(K9&lt;=16),K9*2,0))+(IF(L9="y",$L$4,0))+(IF(M9="y",$M$4,0))+(IF((N9&gt;0)*(N9&lt;=3),N9*15,0))+(IF(O9="y",$O$4,0))+(IF(P9="y",$P$4,0))+(IF(Q9="y",$Q$4,0))+(IF(R9="y",$R$4,0))+(IF(S9="y",$S$4,0))+(IF((T9&gt;0)*(T9&lt;=3),T9*10,0))</f>
        <v>0</v>
      </c>
      <c r="F9" s="51"/>
      <c r="G9" s="51"/>
      <c r="H9" s="51"/>
      <c r="I9" s="51"/>
      <c r="J9" s="51"/>
      <c r="K9" s="51"/>
      <c r="L9" s="51"/>
      <c r="M9" s="51"/>
      <c r="N9" s="51"/>
      <c r="O9" s="51"/>
      <c r="P9" s="51"/>
      <c r="Q9" s="51"/>
      <c r="R9" s="51"/>
      <c r="S9" s="51"/>
      <c r="T9" s="51"/>
    </row>
    <row r="10" spans="1:20" s="17" customFormat="1" ht="24.75" customHeight="1" thickBot="1">
      <c r="A10" s="131"/>
      <c r="B10" s="52">
        <v>2</v>
      </c>
      <c r="C10" s="53"/>
      <c r="D10" s="87"/>
      <c r="E10" s="133">
        <f>(IF(F10="y",$F$4,0))+(IF(G10="y",$G$4,0))+(IF(H10="y",$H$4,0))+(IF(I10="y",$I$4,0))+(IF((0&lt;J10)*(J10&lt;=16),J10*5,0))+(IF((0&lt;K10)*(K10&lt;=16),K10*2,0))+(IF(L10="y",$L$4,0))+(IF(M10="y",$M$4,0))+(IF((N10&gt;0)*(N10&lt;=3),N10*15,0))+(IF(O10="y",$O$4,0))+(IF(P10="y",$P$4,0))+(IF(Q10="y",$Q$4,0))+(IF(R10="y",$R$4,0))+(IF(S10="y",$S$4,0))+(IF((T10&gt;0)*(T10&lt;=3),T10*10,0))</f>
        <v>0</v>
      </c>
      <c r="F10" s="51"/>
      <c r="G10" s="51"/>
      <c r="H10" s="51"/>
      <c r="I10" s="51"/>
      <c r="J10" s="51"/>
      <c r="K10" s="51"/>
      <c r="L10" s="51"/>
      <c r="M10" s="51"/>
      <c r="N10" s="51"/>
      <c r="O10" s="51"/>
      <c r="P10" s="51"/>
      <c r="Q10" s="51"/>
      <c r="R10" s="51"/>
      <c r="S10" s="51"/>
      <c r="T10" s="51"/>
    </row>
    <row r="11" spans="1:25" s="54" customFormat="1" ht="17.25" customHeight="1" thickBot="1">
      <c r="A11" s="37" t="s">
        <v>48</v>
      </c>
      <c r="B11" s="38" t="s">
        <v>49</v>
      </c>
      <c r="C11" s="39" t="s">
        <v>50</v>
      </c>
      <c r="D11" s="40" t="s">
        <v>51</v>
      </c>
      <c r="E11" s="134"/>
      <c r="F11" s="42"/>
      <c r="G11" s="304">
        <f>IF(OR((AND(G12="y",H12="y")),(AND(G13="y",H13="y"))),"Too Many CDs","")</f>
      </c>
      <c r="H11" s="304"/>
      <c r="I11" s="304">
        <f>IF(AND(I12="Y",I13="Y"),"Too Many Balls In Center",IF((IF(I12="Y",1,IF(I13="Y",1,0))+J13+K13+J12+K12)&gt;16,"Too Many Balls",""))</f>
      </c>
      <c r="J11" s="305"/>
      <c r="K11" s="305"/>
      <c r="L11" s="304">
        <f>IF(OR((AND(L12="y",M12="y")),(AND(L13="y",M13="y"))),"Not Both Stairs","")</f>
      </c>
      <c r="M11" s="304"/>
      <c r="N11" s="43"/>
      <c r="O11" s="304">
        <f>IF(OR((AND(O12="y",P12="y")),(AND(O13="y",P13="y"))),"Not Both Positions","")</f>
      </c>
      <c r="P11" s="304"/>
      <c r="Q11" s="43"/>
      <c r="R11" s="304">
        <f>IF(OR((AND(R12="y",S12="y")),(AND(R13="y",S13="y"))),"Too Much Food","")</f>
      </c>
      <c r="S11" s="304"/>
      <c r="T11" s="44"/>
      <c r="U11" s="17"/>
      <c r="V11" s="17"/>
      <c r="W11" s="17"/>
      <c r="X11" s="17"/>
      <c r="Y11" s="17"/>
    </row>
    <row r="12" spans="1:20" s="17" customFormat="1" ht="24.75" customHeight="1" thickBot="1">
      <c r="A12" s="132">
        <f>A9+1</f>
        <v>2</v>
      </c>
      <c r="B12" s="47">
        <v>1</v>
      </c>
      <c r="C12" s="48"/>
      <c r="D12" s="87"/>
      <c r="E12" s="133">
        <f>(IF(F12="y",$F$4,0))+(IF(G12="y",$G$4,0))+(IF(H12="y",$H$4,0))+(IF(I12="y",$I$4,0))+(IF((0&lt;J12)*(J12&lt;=16),J12*5,0))+(IF((0&lt;K12)*(K12&lt;=16),K12*2,0))+(IF(L12="y",$L$4,0))+(IF(M12="y",$M$4,0))+(IF((N12&gt;0)*(N12&lt;=3),N12*15,0))+(IF(O12="y",$O$4,0))+(IF(P12="y",$P$4,0))+(IF(Q12="y",$Q$4,0))+(IF(R12="y",$R$4,0))+(IF(S12="y",$S$4,0))+(IF((T12&gt;0)*(T12&lt;=3),T12*10,0))</f>
        <v>0</v>
      </c>
      <c r="F12" s="51"/>
      <c r="G12" s="51"/>
      <c r="H12" s="51"/>
      <c r="I12" s="51"/>
      <c r="J12" s="51"/>
      <c r="K12" s="51"/>
      <c r="L12" s="51"/>
      <c r="M12" s="51"/>
      <c r="N12" s="51"/>
      <c r="O12" s="51"/>
      <c r="P12" s="51"/>
      <c r="Q12" s="51"/>
      <c r="R12" s="51"/>
      <c r="S12" s="51"/>
      <c r="T12" s="51"/>
    </row>
    <row r="13" spans="1:20" s="17" customFormat="1" ht="24.75" customHeight="1" thickBot="1">
      <c r="A13" s="131"/>
      <c r="B13" s="52">
        <v>2</v>
      </c>
      <c r="C13" s="53"/>
      <c r="D13" s="87"/>
      <c r="E13" s="133">
        <f>(IF(F13="y",$F$4,0))+(IF(G13="y",$G$4,0))+(IF(H13="y",$H$4,0))+(IF(I13="y",$I$4,0))+(IF((0&lt;J13)*(J13&lt;=16),J13*5,0))+(IF((0&lt;K13)*(K13&lt;=16),K13*2,0))+(IF(L13="y",$L$4,0))+(IF(M13="y",$M$4,0))+(IF((N13&gt;0)*(N13&lt;=3),N13*15,0))+(IF(O13="y",$O$4,0))+(IF(P13="y",$P$4,0))+(IF(Q13="y",$Q$4,0))+(IF(R13="y",$R$4,0))+(IF(S13="y",$S$4,0))+(IF((T13&gt;0)*(T13&lt;=3),T13*10,0))</f>
        <v>0</v>
      </c>
      <c r="F13" s="51"/>
      <c r="G13" s="51"/>
      <c r="H13" s="51"/>
      <c r="I13" s="51"/>
      <c r="J13" s="51"/>
      <c r="K13" s="51"/>
      <c r="L13" s="51"/>
      <c r="M13" s="51"/>
      <c r="N13" s="51"/>
      <c r="O13" s="51"/>
      <c r="P13" s="51"/>
      <c r="Q13" s="51"/>
      <c r="R13" s="51"/>
      <c r="S13" s="51"/>
      <c r="T13" s="51"/>
    </row>
    <row r="14" spans="1:25" s="54" customFormat="1" ht="17.25" customHeight="1" thickBot="1">
      <c r="A14" s="37" t="s">
        <v>48</v>
      </c>
      <c r="B14" s="38" t="s">
        <v>49</v>
      </c>
      <c r="C14" s="39" t="s">
        <v>50</v>
      </c>
      <c r="D14" s="40" t="s">
        <v>51</v>
      </c>
      <c r="E14" s="134"/>
      <c r="F14" s="42"/>
      <c r="G14" s="304">
        <f>IF(OR((AND(G15="y",H15="y")),(AND(G16="y",H16="y"))),"Too Many CDs","")</f>
      </c>
      <c r="H14" s="304"/>
      <c r="I14" s="304">
        <f>IF(AND(I15="Y",I16="Y"),"Too Many Balls In Center",IF((IF(I15="Y",1,IF(I16="Y",1,0))+J16+K16+J15+K15)&gt;16,"Too Many Balls",""))</f>
      </c>
      <c r="J14" s="305"/>
      <c r="K14" s="305"/>
      <c r="L14" s="304">
        <f>IF(OR((AND(L15="y",M15="y")),(AND(L16="y",M16="y"))),"Not Both Stairs","")</f>
      </c>
      <c r="M14" s="304"/>
      <c r="N14" s="43"/>
      <c r="O14" s="304">
        <f>IF(OR((AND(O15="y",P15="y")),(AND(O16="y",P16="y"))),"Not Both Positions","")</f>
      </c>
      <c r="P14" s="304"/>
      <c r="Q14" s="43"/>
      <c r="R14" s="304">
        <f>IF(OR((AND(R15="y",S15="y")),(AND(R16="y",S16="y"))),"Too Much Food","")</f>
      </c>
      <c r="S14" s="304"/>
      <c r="T14" s="44"/>
      <c r="U14" s="17"/>
      <c r="V14" s="17"/>
      <c r="W14" s="17"/>
      <c r="X14" s="17"/>
      <c r="Y14" s="17"/>
    </row>
    <row r="15" spans="1:20" s="17" customFormat="1" ht="24.75" customHeight="1" thickBot="1">
      <c r="A15" s="132">
        <f>A12+1</f>
        <v>3</v>
      </c>
      <c r="B15" s="47">
        <v>1</v>
      </c>
      <c r="C15" s="48"/>
      <c r="D15" s="87"/>
      <c r="E15" s="133">
        <f>(IF(F15="y",$F$4,0))+(IF(G15="y",$G$4,0))+(IF(H15="y",$H$4,0))+(IF(I15="y",$I$4,0))+(IF((0&lt;J15)*(J15&lt;=16),J15*5,0))+(IF((0&lt;K15)*(K15&lt;=16),K15*2,0))+(IF(L15="y",$L$4,0))+(IF(M15="y",$M$4,0))+(IF((N15&gt;0)*(N15&lt;=3),N15*15,0))+(IF(O15="y",$O$4,0))+(IF(P15="y",$P$4,0))+(IF(Q15="y",$Q$4,0))+(IF(R15="y",$R$4,0))+(IF(S15="y",$S$4,0))+(IF((T15&gt;0)*(T15&lt;=3),T15*10,0))</f>
        <v>0</v>
      </c>
      <c r="F15" s="51"/>
      <c r="G15" s="51"/>
      <c r="H15" s="51"/>
      <c r="I15" s="51"/>
      <c r="J15" s="51"/>
      <c r="K15" s="51"/>
      <c r="L15" s="51"/>
      <c r="M15" s="51"/>
      <c r="N15" s="51"/>
      <c r="O15" s="51"/>
      <c r="P15" s="51"/>
      <c r="Q15" s="51"/>
      <c r="R15" s="51"/>
      <c r="S15" s="51"/>
      <c r="T15" s="51"/>
    </row>
    <row r="16" spans="1:20" s="17" customFormat="1" ht="24.75" customHeight="1" thickBot="1">
      <c r="A16" s="131"/>
      <c r="B16" s="52">
        <v>2</v>
      </c>
      <c r="C16" s="53"/>
      <c r="D16" s="87"/>
      <c r="E16" s="133">
        <f>(IF(F16="y",$F$4,0))+(IF(G16="y",$G$4,0))+(IF(H16="y",$H$4,0))+(IF(I16="y",$I$4,0))+(IF((0&lt;J16)*(J16&lt;=16),J16*5,0))+(IF((0&lt;K16)*(K16&lt;=16),K16*2,0))+(IF(L16="y",$L$4,0))+(IF(M16="y",$M$4,0))+(IF((N16&gt;0)*(N16&lt;=3),N16*15,0))+(IF(O16="y",$O$4,0))+(IF(P16="y",$P$4,0))+(IF(Q16="y",$Q$4,0))+(IF(R16="y",$R$4,0))+(IF(S16="y",$S$4,0))+(IF((T16&gt;0)*(T16&lt;=3),T16*10,0))</f>
        <v>0</v>
      </c>
      <c r="F16" s="51"/>
      <c r="G16" s="51"/>
      <c r="H16" s="51"/>
      <c r="I16" s="51"/>
      <c r="J16" s="51"/>
      <c r="K16" s="51"/>
      <c r="L16" s="51"/>
      <c r="M16" s="51"/>
      <c r="N16" s="51"/>
      <c r="O16" s="51"/>
      <c r="P16" s="51"/>
      <c r="Q16" s="51"/>
      <c r="R16" s="51"/>
      <c r="S16" s="51"/>
      <c r="T16" s="51"/>
    </row>
    <row r="17" spans="1:25" s="54" customFormat="1" ht="17.25" customHeight="1" thickBot="1">
      <c r="A17" s="37" t="s">
        <v>48</v>
      </c>
      <c r="B17" s="38" t="s">
        <v>49</v>
      </c>
      <c r="C17" s="39" t="s">
        <v>50</v>
      </c>
      <c r="D17" s="40" t="s">
        <v>51</v>
      </c>
      <c r="E17" s="134"/>
      <c r="F17" s="42"/>
      <c r="G17" s="304">
        <f>IF(OR((AND(G18="y",H18="y")),(AND(G19="y",H19="y"))),"Too Many CDs","")</f>
      </c>
      <c r="H17" s="304"/>
      <c r="I17" s="304">
        <f>IF(AND(I18="Y",I19="Y"),"Too Many Balls In Center",IF((IF(I18="Y",1,IF(I19="Y",1,0))+J19+K19+J18+K18)&gt;16,"Too Many Balls",""))</f>
      </c>
      <c r="J17" s="305"/>
      <c r="K17" s="305"/>
      <c r="L17" s="304">
        <f>IF(OR((AND(L18="y",M18="y")),(AND(L19="y",M19="y"))),"Not Both Stairs","")</f>
      </c>
      <c r="M17" s="304"/>
      <c r="N17" s="43"/>
      <c r="O17" s="304">
        <f>IF(OR((AND(O18="y",P18="y")),(AND(O19="y",P19="y"))),"Not Both Positions","")</f>
      </c>
      <c r="P17" s="304"/>
      <c r="Q17" s="43"/>
      <c r="R17" s="304">
        <f>IF(OR((AND(R18="y",S18="y")),(AND(R19="y",S19="y"))),"Too Much Food","")</f>
      </c>
      <c r="S17" s="304"/>
      <c r="T17" s="44"/>
      <c r="U17" s="17"/>
      <c r="V17" s="17"/>
      <c r="W17" s="17"/>
      <c r="X17" s="17"/>
      <c r="Y17" s="17"/>
    </row>
    <row r="18" spans="1:20" s="17" customFormat="1" ht="24.75" customHeight="1" thickBot="1">
      <c r="A18" s="132">
        <f>A15+1</f>
        <v>4</v>
      </c>
      <c r="B18" s="47">
        <v>1</v>
      </c>
      <c r="C18" s="48"/>
      <c r="D18" s="87"/>
      <c r="E18" s="133">
        <f>(IF(F18="y",$F$4,0))+(IF(G18="y",$G$4,0))+(IF(H18="y",$H$4,0))+(IF(I18="y",$I$4,0))+(IF((0&lt;J18)*(J18&lt;=16),J18*5,0))+(IF((0&lt;K18)*(K18&lt;=16),K18*2,0))+(IF(L18="y",$L$4,0))+(IF(M18="y",$M$4,0))+(IF((N18&gt;0)*(N18&lt;=3),N18*15,0))+(IF(O18="y",$O$4,0))+(IF(P18="y",$P$4,0))+(IF(Q18="y",$Q$4,0))+(IF(R18="y",$R$4,0))+(IF(S18="y",$S$4,0))+(IF((T18&gt;0)*(T18&lt;=3),T18*10,0))</f>
        <v>0</v>
      </c>
      <c r="F18" s="51"/>
      <c r="G18" s="51"/>
      <c r="H18" s="51"/>
      <c r="I18" s="51"/>
      <c r="J18" s="51"/>
      <c r="K18" s="51"/>
      <c r="L18" s="51"/>
      <c r="M18" s="51"/>
      <c r="N18" s="51"/>
      <c r="O18" s="51"/>
      <c r="P18" s="51"/>
      <c r="Q18" s="51"/>
      <c r="R18" s="51"/>
      <c r="S18" s="51"/>
      <c r="T18" s="51"/>
    </row>
    <row r="19" spans="1:20" s="17" customFormat="1" ht="24.75" customHeight="1" thickBot="1">
      <c r="A19" s="131"/>
      <c r="B19" s="52">
        <v>2</v>
      </c>
      <c r="C19" s="53"/>
      <c r="D19" s="87"/>
      <c r="E19" s="133">
        <f>(IF(F19="y",$F$4,0))+(IF(G19="y",$G$4,0))+(IF(H19="y",$H$4,0))+(IF(I19="y",$I$4,0))+(IF((0&lt;J19)*(J19&lt;=16),J19*5,0))+(IF((0&lt;K19)*(K19&lt;=16),K19*2,0))+(IF(L19="y",$L$4,0))+(IF(M19="y",$M$4,0))+(IF((N19&gt;0)*(N19&lt;=3),N19*15,0))+(IF(O19="y",$O$4,0))+(IF(P19="y",$P$4,0))+(IF(Q19="y",$Q$4,0))+(IF(R19="y",$R$4,0))+(IF(S19="y",$S$4,0))+(IF((T19&gt;0)*(T19&lt;=3),T19*10,0))</f>
        <v>0</v>
      </c>
      <c r="F19" s="51"/>
      <c r="G19" s="51"/>
      <c r="H19" s="51"/>
      <c r="I19" s="51"/>
      <c r="J19" s="51"/>
      <c r="K19" s="51"/>
      <c r="L19" s="51"/>
      <c r="M19" s="51"/>
      <c r="N19" s="51"/>
      <c r="O19" s="51"/>
      <c r="P19" s="51"/>
      <c r="Q19" s="51"/>
      <c r="R19" s="51"/>
      <c r="S19" s="51"/>
      <c r="T19" s="51"/>
    </row>
    <row r="20" spans="1:25" s="54" customFormat="1" ht="17.25" customHeight="1" thickBot="1">
      <c r="A20" s="37" t="s">
        <v>48</v>
      </c>
      <c r="B20" s="38" t="s">
        <v>49</v>
      </c>
      <c r="C20" s="39" t="s">
        <v>50</v>
      </c>
      <c r="D20" s="40" t="s">
        <v>51</v>
      </c>
      <c r="E20" s="134"/>
      <c r="F20" s="42"/>
      <c r="G20" s="304">
        <f>IF(OR((AND(G21="y",H21="y")),(AND(G22="y",H22="y"))),"Too Many CDs","")</f>
      </c>
      <c r="H20" s="304"/>
      <c r="I20" s="304">
        <f>IF(AND(I21="Y",I22="Y"),"Too Many Balls In Center",IF((IF(I21="Y",1,IF(I22="Y",1,0))+J22+K22+J21+K21)&gt;16,"Too Many Balls",""))</f>
      </c>
      <c r="J20" s="305"/>
      <c r="K20" s="305"/>
      <c r="L20" s="304">
        <f>IF(OR((AND(L21="y",M21="y")),(AND(L22="y",M22="y"))),"Not Both Stairs","")</f>
      </c>
      <c r="M20" s="304"/>
      <c r="N20" s="43"/>
      <c r="O20" s="304">
        <f>IF(OR((AND(O21="y",P21="y")),(AND(O22="y",P22="y"))),"Not Both Positions","")</f>
      </c>
      <c r="P20" s="304"/>
      <c r="Q20" s="43"/>
      <c r="R20" s="304">
        <f>IF(OR((AND(R21="y",S21="y")),(AND(R22="y",S22="y"))),"Too Much Food","")</f>
      </c>
      <c r="S20" s="304"/>
      <c r="T20" s="44"/>
      <c r="U20" s="17"/>
      <c r="V20" s="17"/>
      <c r="W20" s="17"/>
      <c r="X20" s="17"/>
      <c r="Y20" s="17"/>
    </row>
    <row r="21" spans="1:20" s="17" customFormat="1" ht="24.75" customHeight="1" thickBot="1">
      <c r="A21" s="132">
        <f>A18+1</f>
        <v>5</v>
      </c>
      <c r="B21" s="47">
        <v>1</v>
      </c>
      <c r="C21" s="48"/>
      <c r="D21" s="87"/>
      <c r="E21" s="133">
        <f>(IF(F21="y",$F$4,0))+(IF(G21="y",$G$4,0))+(IF(H21="y",$H$4,0))+(IF(I21="y",$I$4,0))+(IF((0&lt;J21)*(J21&lt;=16),J21*5,0))+(IF((0&lt;K21)*(K21&lt;=16),K21*2,0))+(IF(L21="y",$L$4,0))+(IF(M21="y",$M$4,0))+(IF((N21&gt;0)*(N21&lt;=3),N21*15,0))+(IF(O21="y",$O$4,0))+(IF(P21="y",$P$4,0))+(IF(Q21="y",$Q$4,0))+(IF(R21="y",$R$4,0))+(IF(S21="y",$S$4,0))+(IF((T21&gt;0)*(T21&lt;=3),T21*10,0))</f>
        <v>0</v>
      </c>
      <c r="F21" s="51"/>
      <c r="G21" s="51"/>
      <c r="H21" s="51"/>
      <c r="I21" s="51"/>
      <c r="J21" s="51"/>
      <c r="K21" s="51"/>
      <c r="L21" s="51"/>
      <c r="M21" s="51"/>
      <c r="N21" s="51"/>
      <c r="O21" s="51"/>
      <c r="P21" s="51"/>
      <c r="Q21" s="51"/>
      <c r="R21" s="51"/>
      <c r="S21" s="51"/>
      <c r="T21" s="51"/>
    </row>
    <row r="22" spans="1:20" s="17" customFormat="1" ht="24.75" customHeight="1" thickBot="1">
      <c r="A22" s="131"/>
      <c r="B22" s="52">
        <v>2</v>
      </c>
      <c r="C22" s="53"/>
      <c r="D22" s="87"/>
      <c r="E22" s="133">
        <f>(IF(F22="y",$F$4,0))+(IF(G22="y",$G$4,0))+(IF(H22="y",$H$4,0))+(IF(I22="y",$I$4,0))+(IF((0&lt;J22)*(J22&lt;=16),J22*5,0))+(IF((0&lt;K22)*(K22&lt;=16),K22*2,0))+(IF(L22="y",$L$4,0))+(IF(M22="y",$M$4,0))+(IF((N22&gt;0)*(N22&lt;=3),N22*15,0))+(IF(O22="y",$O$4,0))+(IF(P22="y",$P$4,0))+(IF(Q22="y",$Q$4,0))+(IF(R22="y",$R$4,0))+(IF(S22="y",$S$4,0))+(IF((T22&gt;0)*(T22&lt;=3),T22*10,0))</f>
        <v>0</v>
      </c>
      <c r="F22" s="51"/>
      <c r="G22" s="51"/>
      <c r="H22" s="51"/>
      <c r="I22" s="51"/>
      <c r="J22" s="51"/>
      <c r="K22" s="51"/>
      <c r="L22" s="51"/>
      <c r="M22" s="51"/>
      <c r="N22" s="51"/>
      <c r="O22" s="51"/>
      <c r="P22" s="51"/>
      <c r="Q22" s="51"/>
      <c r="R22" s="51"/>
      <c r="S22" s="51"/>
      <c r="T22" s="51"/>
    </row>
    <row r="23" spans="1:25" s="54" customFormat="1" ht="17.25" customHeight="1" thickBot="1">
      <c r="A23" s="37" t="s">
        <v>48</v>
      </c>
      <c r="B23" s="38" t="s">
        <v>49</v>
      </c>
      <c r="C23" s="39" t="s">
        <v>50</v>
      </c>
      <c r="D23" s="40" t="s">
        <v>51</v>
      </c>
      <c r="E23" s="134"/>
      <c r="F23" s="42"/>
      <c r="G23" s="304">
        <f>IF(OR((AND(G24="y",H24="y")),(AND(G25="y",H25="y"))),"Too Many CDs","")</f>
      </c>
      <c r="H23" s="304"/>
      <c r="I23" s="304">
        <f>IF(AND(I24="Y",I25="Y"),"Too Many Balls In Center",IF((IF(I24="Y",1,IF(I25="Y",1,0))+J25+K25+J24+K24)&gt;16,"Too Many Balls",""))</f>
      </c>
      <c r="J23" s="305"/>
      <c r="K23" s="305"/>
      <c r="L23" s="304">
        <f>IF(OR((AND(L24="y",M24="y")),(AND(L25="y",M25="y"))),"Not Both Stairs","")</f>
      </c>
      <c r="M23" s="304"/>
      <c r="N23" s="43"/>
      <c r="O23" s="304">
        <f>IF(OR((AND(O24="y",P24="y")),(AND(O25="y",P25="y"))),"Not Both Positions","")</f>
      </c>
      <c r="P23" s="304"/>
      <c r="Q23" s="43"/>
      <c r="R23" s="304">
        <f>IF(OR((AND(R24="y",S24="y")),(AND(R25="y",S25="y"))),"Too Much Food","")</f>
      </c>
      <c r="S23" s="304"/>
      <c r="T23" s="44"/>
      <c r="U23" s="17"/>
      <c r="V23" s="17"/>
      <c r="W23" s="17"/>
      <c r="X23" s="17"/>
      <c r="Y23" s="17"/>
    </row>
    <row r="24" spans="1:20" s="17" customFormat="1" ht="24.75" customHeight="1" thickBot="1">
      <c r="A24" s="132">
        <f>A21+1</f>
        <v>6</v>
      </c>
      <c r="B24" s="47">
        <v>1</v>
      </c>
      <c r="C24" s="48"/>
      <c r="D24" s="87"/>
      <c r="E24" s="133">
        <f>(IF(F24="y",$F$4,0))+(IF(G24="y",$G$4,0))+(IF(H24="y",$H$4,0))+(IF(I24="y",$I$4,0))+(IF((0&lt;J24)*(J24&lt;=16),J24*5,0))+(IF((0&lt;K24)*(K24&lt;=16),K24*2,0))+(IF(L24="y",$L$4,0))+(IF(M24="y",$M$4,0))+(IF((N24&gt;0)*(N24&lt;=3),N24*15,0))+(IF(O24="y",$O$4,0))+(IF(P24="y",$P$4,0))+(IF(Q24="y",$Q$4,0))+(IF(R24="y",$R$4,0))+(IF(S24="y",$S$4,0))+(IF((T24&gt;0)*(T24&lt;=3),T24*10,0))</f>
        <v>0</v>
      </c>
      <c r="F24" s="51"/>
      <c r="G24" s="51"/>
      <c r="H24" s="51"/>
      <c r="I24" s="51"/>
      <c r="J24" s="51"/>
      <c r="K24" s="51"/>
      <c r="L24" s="51"/>
      <c r="M24" s="51"/>
      <c r="N24" s="51"/>
      <c r="O24" s="51"/>
      <c r="P24" s="51"/>
      <c r="Q24" s="51"/>
      <c r="R24" s="51"/>
      <c r="S24" s="51"/>
      <c r="T24" s="51"/>
    </row>
    <row r="25" spans="1:20" s="17" customFormat="1" ht="24.75" customHeight="1" thickBot="1">
      <c r="A25" s="131"/>
      <c r="B25" s="52">
        <v>2</v>
      </c>
      <c r="C25" s="53"/>
      <c r="D25" s="87"/>
      <c r="E25" s="133">
        <f>(IF(F25="y",$F$4,0))+(IF(G25="y",$G$4,0))+(IF(H25="y",$H$4,0))+(IF(I25="y",$I$4,0))+(IF((0&lt;J25)*(J25&lt;=16),J25*5,0))+(IF((0&lt;K25)*(K25&lt;=16),K25*2,0))+(IF(L25="y",$L$4,0))+(IF(M25="y",$M$4,0))+(IF((N25&gt;0)*(N25&lt;=3),N25*15,0))+(IF(O25="y",$O$4,0))+(IF(P25="y",$P$4,0))+(IF(Q25="y",$Q$4,0))+(IF(R25="y",$R$4,0))+(IF(S25="y",$S$4,0))+(IF((T25&gt;0)*(T25&lt;=3),T25*10,0))</f>
        <v>0</v>
      </c>
      <c r="F25" s="51"/>
      <c r="G25" s="51"/>
      <c r="H25" s="51"/>
      <c r="I25" s="51"/>
      <c r="J25" s="51"/>
      <c r="K25" s="51"/>
      <c r="L25" s="51"/>
      <c r="M25" s="51"/>
      <c r="N25" s="51"/>
      <c r="O25" s="51"/>
      <c r="P25" s="51"/>
      <c r="Q25" s="51"/>
      <c r="R25" s="51"/>
      <c r="S25" s="51"/>
      <c r="T25" s="51"/>
    </row>
    <row r="26" spans="1:25" s="54" customFormat="1" ht="17.25" customHeight="1" thickBot="1">
      <c r="A26" s="37" t="s">
        <v>48</v>
      </c>
      <c r="B26" s="38" t="s">
        <v>49</v>
      </c>
      <c r="C26" s="39" t="s">
        <v>50</v>
      </c>
      <c r="D26" s="40" t="s">
        <v>51</v>
      </c>
      <c r="E26" s="134"/>
      <c r="F26" s="42"/>
      <c r="G26" s="304">
        <f>IF(OR((AND(G27="y",H27="y")),(AND(G28="y",H28="y"))),"Too Many CDs","")</f>
      </c>
      <c r="H26" s="304"/>
      <c r="I26" s="304">
        <f>IF(AND(I27="Y",I28="Y"),"Too Many Balls In Center",IF((IF(I27="Y",1,IF(I28="Y",1,0))+J28+K28+J27+K27)&gt;16,"Too Many Balls",""))</f>
      </c>
      <c r="J26" s="305"/>
      <c r="K26" s="305"/>
      <c r="L26" s="304">
        <f>IF(OR((AND(L27="y",M27="y")),(AND(L28="y",M28="y"))),"Not Both Stairs","")</f>
      </c>
      <c r="M26" s="304"/>
      <c r="N26" s="43"/>
      <c r="O26" s="304">
        <f>IF(OR((AND(O27="y",P27="y")),(AND(O28="y",P28="y"))),"Not Both Positions","")</f>
      </c>
      <c r="P26" s="304"/>
      <c r="Q26" s="43"/>
      <c r="R26" s="304">
        <f>IF(OR((AND(R27="y",S27="y")),(AND(R28="y",S28="y"))),"Too Much Food","")</f>
      </c>
      <c r="S26" s="304"/>
      <c r="T26" s="44"/>
      <c r="U26" s="17"/>
      <c r="V26" s="17"/>
      <c r="W26" s="17"/>
      <c r="X26" s="17"/>
      <c r="Y26" s="17"/>
    </row>
    <row r="27" spans="1:20" s="17" customFormat="1" ht="24.75" customHeight="1" thickBot="1">
      <c r="A27" s="132">
        <f>A24+1</f>
        <v>7</v>
      </c>
      <c r="B27" s="47">
        <v>1</v>
      </c>
      <c r="C27" s="48"/>
      <c r="D27" s="87"/>
      <c r="E27" s="133">
        <f>(IF(F27="y",$F$4,0))+(IF(G27="y",$G$4,0))+(IF(H27="y",$H$4,0))+(IF(I27="y",$I$4,0))+(IF((0&lt;J27)*(J27&lt;=16),J27*5,0))+(IF((0&lt;K27)*(K27&lt;=16),K27*2,0))+(IF(L27="y",$L$4,0))+(IF(M27="y",$M$4,0))+(IF((N27&gt;0)*(N27&lt;=3),N27*15,0))+(IF(O27="y",$O$4,0))+(IF(P27="y",$P$4,0))+(IF(Q27="y",$Q$4,0))+(IF(R27="y",$R$4,0))+(IF(S27="y",$S$4,0))+(IF((T27&gt;0)*(T27&lt;=3),T27*10,0))</f>
        <v>0</v>
      </c>
      <c r="F27" s="51"/>
      <c r="G27" s="51"/>
      <c r="H27" s="51"/>
      <c r="I27" s="51"/>
      <c r="J27" s="51"/>
      <c r="K27" s="51"/>
      <c r="L27" s="51"/>
      <c r="M27" s="51"/>
      <c r="N27" s="51"/>
      <c r="O27" s="51"/>
      <c r="P27" s="51"/>
      <c r="Q27" s="51"/>
      <c r="R27" s="51"/>
      <c r="S27" s="51"/>
      <c r="T27" s="51"/>
    </row>
    <row r="28" spans="1:20" s="17" customFormat="1" ht="24.75" customHeight="1" thickBot="1">
      <c r="A28" s="131"/>
      <c r="B28" s="52">
        <v>2</v>
      </c>
      <c r="C28" s="53"/>
      <c r="D28" s="87"/>
      <c r="E28" s="133">
        <f>(IF(F28="y",$F$4,0))+(IF(G28="y",$G$4,0))+(IF(H28="y",$H$4,0))+(IF(I28="y",$I$4,0))+(IF((0&lt;J28)*(J28&lt;=16),J28*5,0))+(IF((0&lt;K28)*(K28&lt;=16),K28*2,0))+(IF(L28="y",$L$4,0))+(IF(M28="y",$M$4,0))+(IF((N28&gt;0)*(N28&lt;=3),N28*15,0))+(IF(O28="y",$O$4,0))+(IF(P28="y",$P$4,0))+(IF(Q28="y",$Q$4,0))+(IF(R28="y",$R$4,0))+(IF(S28="y",$S$4,0))+(IF((T28&gt;0)*(T28&lt;=3),T28*10,0))</f>
        <v>0</v>
      </c>
      <c r="F28" s="51"/>
      <c r="G28" s="51"/>
      <c r="H28" s="51"/>
      <c r="I28" s="51"/>
      <c r="J28" s="51"/>
      <c r="K28" s="51"/>
      <c r="L28" s="51"/>
      <c r="M28" s="51"/>
      <c r="N28" s="51"/>
      <c r="O28" s="51"/>
      <c r="P28" s="51"/>
      <c r="Q28" s="51"/>
      <c r="R28" s="51"/>
      <c r="S28" s="51"/>
      <c r="T28" s="51"/>
    </row>
    <row r="29" spans="1:25" s="54" customFormat="1" ht="17.25" customHeight="1" thickBot="1">
      <c r="A29" s="37" t="s">
        <v>48</v>
      </c>
      <c r="B29" s="38" t="s">
        <v>49</v>
      </c>
      <c r="C29" s="39" t="s">
        <v>50</v>
      </c>
      <c r="D29" s="40" t="s">
        <v>51</v>
      </c>
      <c r="E29" s="134"/>
      <c r="F29" s="42"/>
      <c r="G29" s="304">
        <f>IF(OR((AND(G30="y",H30="y")),(AND(G31="y",H31="y"))),"Too Many CDs","")</f>
      </c>
      <c r="H29" s="304"/>
      <c r="I29" s="304">
        <f>IF(AND(I30="Y",I31="Y"),"Too Many Balls In Center",IF((IF(I30="Y",1,IF(I31="Y",1,0))+J31+K31+J30+K30)&gt;16,"Too Many Balls",""))</f>
      </c>
      <c r="J29" s="305"/>
      <c r="K29" s="305"/>
      <c r="L29" s="304">
        <f>IF(OR((AND(L30="y",M30="y")),(AND(L31="y",M31="y"))),"Not Both Stairs","")</f>
      </c>
      <c r="M29" s="304"/>
      <c r="N29" s="43"/>
      <c r="O29" s="304">
        <f>IF(OR((AND(O30="y",P30="y")),(AND(O31="y",P31="y"))),"Not Both Positions","")</f>
      </c>
      <c r="P29" s="304"/>
      <c r="Q29" s="43"/>
      <c r="R29" s="304">
        <f>IF(OR((AND(R30="y",S30="y")),(AND(R31="y",S31="y"))),"Too Much Food","")</f>
      </c>
      <c r="S29" s="304"/>
      <c r="T29" s="44"/>
      <c r="U29" s="17"/>
      <c r="V29" s="17"/>
      <c r="W29" s="17"/>
      <c r="X29" s="17"/>
      <c r="Y29" s="17"/>
    </row>
    <row r="30" spans="1:20" s="17" customFormat="1" ht="24.75" customHeight="1" thickBot="1">
      <c r="A30" s="132">
        <f>A27+1</f>
        <v>8</v>
      </c>
      <c r="B30" s="47">
        <v>1</v>
      </c>
      <c r="C30" s="48"/>
      <c r="D30" s="87"/>
      <c r="E30" s="133">
        <f>(IF(F30="y",$F$4,0))+(IF(G30="y",$G$4,0))+(IF(H30="y",$H$4,0))+(IF(I30="y",$I$4,0))+(IF((0&lt;J30)*(J30&lt;=16),J30*5,0))+(IF((0&lt;K30)*(K30&lt;=16),K30*2,0))+(IF(L30="y",$L$4,0))+(IF(M30="y",$M$4,0))+(IF((N30&gt;0)*(N30&lt;=3),N30*15,0))+(IF(O30="y",$O$4,0))+(IF(P30="y",$P$4,0))+(IF(Q30="y",$Q$4,0))+(IF(R30="y",$R$4,0))+(IF(S30="y",$S$4,0))+(IF((T30&gt;0)*(T30&lt;=3),T30*10,0))</f>
        <v>0</v>
      </c>
      <c r="F30" s="51"/>
      <c r="G30" s="51"/>
      <c r="H30" s="51"/>
      <c r="I30" s="51"/>
      <c r="J30" s="51"/>
      <c r="K30" s="51"/>
      <c r="L30" s="51"/>
      <c r="M30" s="51"/>
      <c r="N30" s="51"/>
      <c r="O30" s="51"/>
      <c r="P30" s="51"/>
      <c r="Q30" s="51"/>
      <c r="R30" s="51"/>
      <c r="S30" s="51"/>
      <c r="T30" s="51"/>
    </row>
    <row r="31" spans="1:20" s="17" customFormat="1" ht="24.75" customHeight="1" thickBot="1">
      <c r="A31" s="131"/>
      <c r="B31" s="52">
        <v>2</v>
      </c>
      <c r="C31" s="53"/>
      <c r="D31" s="87"/>
      <c r="E31" s="133">
        <f>(IF(F31="y",$F$4,0))+(IF(G31="y",$G$4,0))+(IF(H31="y",$H$4,0))+(IF(I31="y",$I$4,0))+(IF((0&lt;J31)*(J31&lt;=16),J31*5,0))+(IF((0&lt;K31)*(K31&lt;=16),K31*2,0))+(IF(L31="y",$L$4,0))+(IF(M31="y",$M$4,0))+(IF((N31&gt;0)*(N31&lt;=3),N31*15,0))+(IF(O31="y",$O$4,0))+(IF(P31="y",$P$4,0))+(IF(Q31="y",$Q$4,0))+(IF(R31="y",$R$4,0))+(IF(S31="y",$S$4,0))+(IF((T31&gt;0)*(T31&lt;=3),T31*10,0))</f>
        <v>0</v>
      </c>
      <c r="F31" s="51"/>
      <c r="G31" s="51"/>
      <c r="H31" s="51"/>
      <c r="I31" s="51"/>
      <c r="J31" s="51"/>
      <c r="K31" s="51"/>
      <c r="L31" s="51"/>
      <c r="M31" s="51"/>
      <c r="N31" s="51"/>
      <c r="O31" s="51"/>
      <c r="P31" s="51"/>
      <c r="Q31" s="51"/>
      <c r="R31" s="51"/>
      <c r="S31" s="51"/>
      <c r="T31" s="51"/>
    </row>
    <row r="32" spans="1:25" s="54" customFormat="1" ht="17.25" customHeight="1" thickBot="1">
      <c r="A32" s="37" t="s">
        <v>48</v>
      </c>
      <c r="B32" s="38" t="s">
        <v>49</v>
      </c>
      <c r="C32" s="39" t="s">
        <v>50</v>
      </c>
      <c r="D32" s="40" t="s">
        <v>51</v>
      </c>
      <c r="E32" s="134"/>
      <c r="F32" s="42"/>
      <c r="G32" s="304">
        <f>IF(OR((AND(G33="y",H33="y")),(AND(G34="y",H34="y"))),"Too Many CDs","")</f>
      </c>
      <c r="H32" s="304"/>
      <c r="I32" s="304">
        <f>IF(AND(I33="Y",I34="Y"),"Too Many Balls In Center",IF((IF(I33="Y",1,IF(I34="Y",1,0))+J34+K34+J33+K33)&gt;16,"Too Many Balls",""))</f>
      </c>
      <c r="J32" s="305"/>
      <c r="K32" s="305"/>
      <c r="L32" s="304">
        <f>IF(OR((AND(L33="y",M33="y")),(AND(L34="y",M34="y"))),"Not Both Stairs","")</f>
      </c>
      <c r="M32" s="304"/>
      <c r="N32" s="43"/>
      <c r="O32" s="304">
        <f>IF(OR((AND(O33="y",P33="y")),(AND(O34="y",P34="y"))),"Not Both Positions","")</f>
      </c>
      <c r="P32" s="304"/>
      <c r="Q32" s="43"/>
      <c r="R32" s="304">
        <f>IF(OR((AND(R33="y",S33="y")),(AND(R34="y",S34="y"))),"Too Much Food","")</f>
      </c>
      <c r="S32" s="304"/>
      <c r="T32" s="44"/>
      <c r="U32" s="17"/>
      <c r="V32" s="17"/>
      <c r="W32" s="17"/>
      <c r="X32" s="17"/>
      <c r="Y32" s="17"/>
    </row>
    <row r="33" spans="1:20" s="17" customFormat="1" ht="24.75" customHeight="1" thickBot="1">
      <c r="A33" s="132">
        <f>A30+1</f>
        <v>9</v>
      </c>
      <c r="B33" s="47">
        <v>1</v>
      </c>
      <c r="C33" s="48"/>
      <c r="D33" s="87"/>
      <c r="E33" s="133">
        <f>(IF(F33="y",$F$4,0))+(IF(G33="y",$G$4,0))+(IF(H33="y",$H$4,0))+(IF(I33="y",$I$4,0))+(IF((0&lt;J33)*(J33&lt;=16),J33*5,0))+(IF((0&lt;K33)*(K33&lt;=16),K33*2,0))+(IF(L33="y",$L$4,0))+(IF(M33="y",$M$4,0))+(IF((N33&gt;0)*(N33&lt;=3),N33*15,0))+(IF(O33="y",$O$4,0))+(IF(P33="y",$P$4,0))+(IF(Q33="y",$Q$4,0))+(IF(R33="y",$R$4,0))+(IF(S33="y",$S$4,0))+(IF((T33&gt;0)*(T33&lt;=3),T33*10,0))</f>
        <v>0</v>
      </c>
      <c r="F33" s="51"/>
      <c r="G33" s="51"/>
      <c r="H33" s="51"/>
      <c r="I33" s="51"/>
      <c r="J33" s="51"/>
      <c r="K33" s="51"/>
      <c r="L33" s="51"/>
      <c r="M33" s="51"/>
      <c r="N33" s="51"/>
      <c r="O33" s="51"/>
      <c r="P33" s="51"/>
      <c r="Q33" s="51"/>
      <c r="R33" s="51"/>
      <c r="S33" s="51"/>
      <c r="T33" s="51"/>
    </row>
    <row r="34" spans="1:20" s="17" customFormat="1" ht="24.75" customHeight="1" thickBot="1">
      <c r="A34" s="131"/>
      <c r="B34" s="52">
        <v>2</v>
      </c>
      <c r="C34" s="53"/>
      <c r="D34" s="87"/>
      <c r="E34" s="133">
        <f>(IF(F34="y",$F$4,0))+(IF(G34="y",$G$4,0))+(IF(H34="y",$H$4,0))+(IF(I34="y",$I$4,0))+(IF((0&lt;J34)*(J34&lt;=16),J34*5,0))+(IF((0&lt;K34)*(K34&lt;=16),K34*2,0))+(IF(L34="y",$L$4,0))+(IF(M34="y",$M$4,0))+(IF((N34&gt;0)*(N34&lt;=3),N34*15,0))+(IF(O34="y",$O$4,0))+(IF(P34="y",$P$4,0))+(IF(Q34="y",$Q$4,0))+(IF(R34="y",$R$4,0))+(IF(S34="y",$S$4,0))+(IF((T34&gt;0)*(T34&lt;=3),T34*10,0))</f>
        <v>0</v>
      </c>
      <c r="F34" s="51"/>
      <c r="G34" s="51"/>
      <c r="H34" s="51"/>
      <c r="I34" s="51"/>
      <c r="J34" s="51"/>
      <c r="K34" s="51"/>
      <c r="L34" s="51"/>
      <c r="M34" s="51"/>
      <c r="N34" s="51"/>
      <c r="O34" s="51"/>
      <c r="P34" s="51"/>
      <c r="Q34" s="51"/>
      <c r="R34" s="51"/>
      <c r="S34" s="51"/>
      <c r="T34" s="51"/>
    </row>
    <row r="35" spans="1:25" s="54" customFormat="1" ht="17.25" customHeight="1" thickBot="1">
      <c r="A35" s="37" t="s">
        <v>48</v>
      </c>
      <c r="B35" s="38" t="s">
        <v>49</v>
      </c>
      <c r="C35" s="39" t="s">
        <v>50</v>
      </c>
      <c r="D35" s="40" t="s">
        <v>51</v>
      </c>
      <c r="E35" s="134"/>
      <c r="F35" s="42"/>
      <c r="G35" s="304">
        <f>IF(OR((AND(G36="y",H36="y")),(AND(G37="y",H37="y"))),"Too Many CDs","")</f>
      </c>
      <c r="H35" s="304"/>
      <c r="I35" s="304">
        <f>IF(AND(I36="Y",I37="Y"),"Too Many Balls In Center",IF((IF(I36="Y",1,IF(I37="Y",1,0))+J37+K37+J36+K36)&gt;16,"Too Many Balls",""))</f>
      </c>
      <c r="J35" s="305"/>
      <c r="K35" s="305"/>
      <c r="L35" s="304">
        <f>IF(OR((AND(L36="y",M36="y")),(AND(L37="y",M37="y"))),"Not Both Stairs","")</f>
      </c>
      <c r="M35" s="304"/>
      <c r="N35" s="43"/>
      <c r="O35" s="304">
        <f>IF(OR((AND(O36="y",P36="y")),(AND(O37="y",P37="y"))),"Not Both Positions","")</f>
      </c>
      <c r="P35" s="304"/>
      <c r="Q35" s="43"/>
      <c r="R35" s="304">
        <f>IF(OR((AND(R36="y",S36="y")),(AND(R37="y",S37="y"))),"Too Much Food","")</f>
      </c>
      <c r="S35" s="304"/>
      <c r="T35" s="44"/>
      <c r="U35" s="17"/>
      <c r="V35" s="17"/>
      <c r="W35" s="17"/>
      <c r="X35" s="17"/>
      <c r="Y35" s="17"/>
    </row>
    <row r="36" spans="1:20" s="17" customFormat="1" ht="24.75" customHeight="1" thickBot="1">
      <c r="A36" s="132">
        <f>A33+1</f>
        <v>10</v>
      </c>
      <c r="B36" s="47">
        <v>1</v>
      </c>
      <c r="C36" s="48"/>
      <c r="D36" s="87"/>
      <c r="E36" s="133">
        <f>(IF(F36="y",$F$4,0))+(IF(G36="y",$G$4,0))+(IF(H36="y",$H$4,0))+(IF(I36="y",$I$4,0))+(IF((0&lt;J36)*(J36&lt;=16),J36*5,0))+(IF((0&lt;K36)*(K36&lt;=16),K36*2,0))+(IF(L36="y",$L$4,0))+(IF(M36="y",$M$4,0))+(IF((N36&gt;0)*(N36&lt;=3),N36*15,0))+(IF(O36="y",$O$4,0))+(IF(P36="y",$P$4,0))+(IF(Q36="y",$Q$4,0))+(IF(R36="y",$R$4,0))+(IF(S36="y",$S$4,0))+(IF((T36&gt;0)*(T36&lt;=3),T36*10,0))</f>
        <v>0</v>
      </c>
      <c r="F36" s="51"/>
      <c r="G36" s="51"/>
      <c r="H36" s="51"/>
      <c r="I36" s="51"/>
      <c r="J36" s="51"/>
      <c r="K36" s="51"/>
      <c r="L36" s="51"/>
      <c r="M36" s="51"/>
      <c r="N36" s="51"/>
      <c r="O36" s="51"/>
      <c r="P36" s="51"/>
      <c r="Q36" s="51"/>
      <c r="R36" s="51"/>
      <c r="S36" s="51"/>
      <c r="T36" s="51"/>
    </row>
    <row r="37" spans="1:20" s="17" customFormat="1" ht="24.75" customHeight="1" thickBot="1">
      <c r="A37" s="131"/>
      <c r="B37" s="52">
        <v>2</v>
      </c>
      <c r="C37" s="53"/>
      <c r="D37" s="87"/>
      <c r="E37" s="133">
        <f>(IF(F37="y",$F$4,0))+(IF(G37="y",$G$4,0))+(IF(H37="y",$H$4,0))+(IF(I37="y",$I$4,0))+(IF((0&lt;J37)*(J37&lt;=16),J37*5,0))+(IF((0&lt;K37)*(K37&lt;=16),K37*2,0))+(IF(L37="y",$L$4,0))+(IF(M37="y",$M$4,0))+(IF((N37&gt;0)*(N37&lt;=3),N37*15,0))+(IF(O37="y",$O$4,0))+(IF(P37="y",$P$4,0))+(IF(Q37="y",$Q$4,0))+(IF(R37="y",$R$4,0))+(IF(S37="y",$S$4,0))+(IF((T37&gt;0)*(T37&lt;=3),T37*10,0))</f>
        <v>0</v>
      </c>
      <c r="F37" s="51"/>
      <c r="G37" s="51"/>
      <c r="H37" s="51"/>
      <c r="I37" s="51"/>
      <c r="J37" s="51"/>
      <c r="K37" s="51"/>
      <c r="L37" s="51"/>
      <c r="M37" s="51"/>
      <c r="N37" s="51"/>
      <c r="O37" s="51"/>
      <c r="P37" s="51"/>
      <c r="Q37" s="51"/>
      <c r="R37" s="51"/>
      <c r="S37" s="51"/>
      <c r="T37" s="51"/>
    </row>
    <row r="38" spans="1:25" s="54" customFormat="1" ht="17.25" customHeight="1" thickBot="1">
      <c r="A38" s="37" t="s">
        <v>48</v>
      </c>
      <c r="B38" s="38" t="s">
        <v>49</v>
      </c>
      <c r="C38" s="39" t="s">
        <v>50</v>
      </c>
      <c r="D38" s="40" t="s">
        <v>51</v>
      </c>
      <c r="E38" s="134"/>
      <c r="F38" s="42"/>
      <c r="G38" s="304">
        <f>IF(OR((AND(G39="y",H39="y")),(AND(G40="y",H40="y"))),"Too Many CDs","")</f>
      </c>
      <c r="H38" s="304"/>
      <c r="I38" s="304">
        <f>IF(AND(I39="Y",I40="Y"),"Too Many Balls In Center",IF((IF(I39="Y",1,IF(I40="Y",1,0))+J40+K40+J39+K39)&gt;16,"Too Many Balls",""))</f>
      </c>
      <c r="J38" s="305"/>
      <c r="K38" s="305"/>
      <c r="L38" s="304">
        <f>IF(OR((AND(L39="y",M39="y")),(AND(L40="y",M40="y"))),"Not Both Stairs","")</f>
      </c>
      <c r="M38" s="304"/>
      <c r="N38" s="43"/>
      <c r="O38" s="304">
        <f>IF(OR((AND(O39="y",P39="y")),(AND(O40="y",P40="y"))),"Not Both Positions","")</f>
      </c>
      <c r="P38" s="304"/>
      <c r="Q38" s="43"/>
      <c r="R38" s="304">
        <f>IF(OR((AND(R39="y",S39="y")),(AND(R40="y",S40="y"))),"Too Much Food","")</f>
      </c>
      <c r="S38" s="304"/>
      <c r="T38" s="44"/>
      <c r="U38" s="17"/>
      <c r="V38" s="17"/>
      <c r="W38" s="17"/>
      <c r="X38" s="17"/>
      <c r="Y38" s="17"/>
    </row>
    <row r="39" spans="1:20" s="17" customFormat="1" ht="24.75" customHeight="1" thickBot="1">
      <c r="A39" s="132">
        <f>A36+1</f>
        <v>11</v>
      </c>
      <c r="B39" s="47">
        <v>1</v>
      </c>
      <c r="C39" s="48"/>
      <c r="D39" s="87"/>
      <c r="E39" s="133">
        <f>(IF(F39="y",$F$4,0))+(IF(G39="y",$G$4,0))+(IF(H39="y",$H$4,0))+(IF(I39="y",$I$4,0))+(IF((0&lt;J39)*(J39&lt;=16),J39*5,0))+(IF((0&lt;K39)*(K39&lt;=16),K39*2,0))+(IF(L39="y",$L$4,0))+(IF(M39="y",$M$4,0))+(IF((N39&gt;0)*(N39&lt;=3),N39*15,0))+(IF(O39="y",$O$4,0))+(IF(P39="y",$P$4,0))+(IF(Q39="y",$Q$4,0))+(IF(R39="y",$R$4,0))+(IF(S39="y",$S$4,0))+(IF((T39&gt;0)*(T39&lt;=3),T39*10,0))</f>
        <v>0</v>
      </c>
      <c r="F39" s="51"/>
      <c r="G39" s="51"/>
      <c r="H39" s="51"/>
      <c r="I39" s="51"/>
      <c r="J39" s="51"/>
      <c r="K39" s="51"/>
      <c r="L39" s="51"/>
      <c r="M39" s="51"/>
      <c r="N39" s="51"/>
      <c r="O39" s="51"/>
      <c r="P39" s="51"/>
      <c r="Q39" s="51"/>
      <c r="R39" s="51"/>
      <c r="S39" s="51"/>
      <c r="T39" s="51"/>
    </row>
    <row r="40" spans="1:20" s="17" customFormat="1" ht="24.75" customHeight="1" thickBot="1">
      <c r="A40" s="131"/>
      <c r="B40" s="52">
        <v>2</v>
      </c>
      <c r="C40" s="53"/>
      <c r="D40" s="87"/>
      <c r="E40" s="133">
        <f>(IF(F40="y",$F$4,0))+(IF(G40="y",$G$4,0))+(IF(H40="y",$H$4,0))+(IF(I40="y",$I$4,0))+(IF((0&lt;J40)*(J40&lt;=16),J40*5,0))+(IF((0&lt;K40)*(K40&lt;=16),K40*2,0))+(IF(L40="y",$L$4,0))+(IF(M40="y",$M$4,0))+(IF((N40&gt;0)*(N40&lt;=3),N40*15,0))+(IF(O40="y",$O$4,0))+(IF(P40="y",$P$4,0))+(IF(Q40="y",$Q$4,0))+(IF(R40="y",$R$4,0))+(IF(S40="y",$S$4,0))+(IF((T40&gt;0)*(T40&lt;=3),T40*10,0))</f>
        <v>0</v>
      </c>
      <c r="F40" s="51"/>
      <c r="G40" s="51"/>
      <c r="H40" s="51"/>
      <c r="I40" s="51"/>
      <c r="J40" s="51"/>
      <c r="K40" s="51"/>
      <c r="L40" s="51"/>
      <c r="M40" s="51"/>
      <c r="N40" s="51"/>
      <c r="O40" s="51"/>
      <c r="P40" s="51"/>
      <c r="Q40" s="51"/>
      <c r="R40" s="51"/>
      <c r="S40" s="51"/>
      <c r="T40" s="51"/>
    </row>
    <row r="41" spans="1:25" s="54" customFormat="1" ht="17.25" customHeight="1" thickBot="1">
      <c r="A41" s="37" t="s">
        <v>48</v>
      </c>
      <c r="B41" s="38" t="s">
        <v>49</v>
      </c>
      <c r="C41" s="39" t="s">
        <v>50</v>
      </c>
      <c r="D41" s="40" t="s">
        <v>51</v>
      </c>
      <c r="E41" s="134"/>
      <c r="F41" s="42"/>
      <c r="G41" s="304">
        <f>IF(OR((AND(G42="y",H42="y")),(AND(G43="y",H43="y"))),"Too Many CDs","")</f>
      </c>
      <c r="H41" s="304"/>
      <c r="I41" s="304">
        <f>IF(AND(I42="Y",I43="Y"),"Too Many Balls In Center",IF((IF(I42="Y",1,IF(I43="Y",1,0))+J43+K43+J42+K42)&gt;16,"Too Many Balls",""))</f>
      </c>
      <c r="J41" s="305"/>
      <c r="K41" s="305"/>
      <c r="L41" s="304">
        <f>IF(OR((AND(L42="y",M42="y")),(AND(L43="y",M43="y"))),"Not Both Stairs","")</f>
      </c>
      <c r="M41" s="304"/>
      <c r="N41" s="43"/>
      <c r="O41" s="304">
        <f>IF(OR((AND(O42="y",P42="y")),(AND(O43="y",P43="y"))),"Not Both Positions","")</f>
      </c>
      <c r="P41" s="304"/>
      <c r="Q41" s="43"/>
      <c r="R41" s="304">
        <f>IF(OR((AND(R42="y",S42="y")),(AND(R43="y",S43="y"))),"Too Much Food","")</f>
      </c>
      <c r="S41" s="304"/>
      <c r="T41" s="44"/>
      <c r="U41" s="17"/>
      <c r="V41" s="17"/>
      <c r="W41" s="17"/>
      <c r="X41" s="17"/>
      <c r="Y41" s="17"/>
    </row>
    <row r="42" spans="1:20" s="17" customFormat="1" ht="24.75" customHeight="1" thickBot="1">
      <c r="A42" s="132">
        <f>A39+1</f>
        <v>12</v>
      </c>
      <c r="B42" s="47">
        <v>1</v>
      </c>
      <c r="C42" s="48"/>
      <c r="D42" s="87"/>
      <c r="E42" s="133">
        <f>(IF(F42="y",$F$4,0))+(IF(G42="y",$G$4,0))+(IF(H42="y",$H$4,0))+(IF(I42="y",$I$4,0))+(IF((0&lt;J42)*(J42&lt;=16),J42*5,0))+(IF((0&lt;K42)*(K42&lt;=16),K42*2,0))+(IF(L42="y",$L$4,0))+(IF(M42="y",$M$4,0))+(IF((N42&gt;0)*(N42&lt;=3),N42*15,0))+(IF(O42="y",$O$4,0))+(IF(P42="y",$P$4,0))+(IF(Q42="y",$Q$4,0))+(IF(R42="y",$R$4,0))+(IF(S42="y",$S$4,0))+(IF((T42&gt;0)*(T42&lt;=3),T42*10,0))</f>
        <v>0</v>
      </c>
      <c r="F42" s="51"/>
      <c r="G42" s="51"/>
      <c r="H42" s="51"/>
      <c r="I42" s="51"/>
      <c r="J42" s="51"/>
      <c r="K42" s="51"/>
      <c r="L42" s="51"/>
      <c r="M42" s="51"/>
      <c r="N42" s="51"/>
      <c r="O42" s="51"/>
      <c r="P42" s="51"/>
      <c r="Q42" s="51"/>
      <c r="R42" s="51"/>
      <c r="S42" s="51"/>
      <c r="T42" s="51"/>
    </row>
    <row r="43" spans="1:20" s="17" customFormat="1" ht="24.75" customHeight="1" thickBot="1">
      <c r="A43" s="131"/>
      <c r="B43" s="52">
        <v>2</v>
      </c>
      <c r="C43" s="53"/>
      <c r="D43" s="87"/>
      <c r="E43" s="133">
        <f>(IF(F43="y",$F$4,0))+(IF(G43="y",$G$4,0))+(IF(H43="y",$H$4,0))+(IF(I43="y",$I$4,0))+(IF((0&lt;J43)*(J43&lt;=16),J43*5,0))+(IF((0&lt;K43)*(K43&lt;=16),K43*2,0))+(IF(L43="y",$L$4,0))+(IF(M43="y",$M$4,0))+(IF((N43&gt;0)*(N43&lt;=3),N43*15,0))+(IF(O43="y",$O$4,0))+(IF(P43="y",$P$4,0))+(IF(Q43="y",$Q$4,0))+(IF(R43="y",$R$4,0))+(IF(S43="y",$S$4,0))+(IF((T43&gt;0)*(T43&lt;=3),T43*10,0))</f>
        <v>0</v>
      </c>
      <c r="F43" s="51"/>
      <c r="G43" s="51"/>
      <c r="H43" s="51"/>
      <c r="I43" s="51"/>
      <c r="J43" s="51"/>
      <c r="K43" s="51"/>
      <c r="L43" s="51"/>
      <c r="M43" s="51"/>
      <c r="N43" s="51"/>
      <c r="O43" s="51"/>
      <c r="P43" s="51"/>
      <c r="Q43" s="51"/>
      <c r="R43" s="51"/>
      <c r="S43" s="51"/>
      <c r="T43" s="51"/>
    </row>
    <row r="44" spans="1:25" s="54" customFormat="1" ht="17.25" customHeight="1" thickBot="1">
      <c r="A44" s="37" t="s">
        <v>48</v>
      </c>
      <c r="B44" s="38" t="s">
        <v>49</v>
      </c>
      <c r="C44" s="39" t="s">
        <v>50</v>
      </c>
      <c r="D44" s="40" t="s">
        <v>51</v>
      </c>
      <c r="E44" s="134"/>
      <c r="F44" s="42"/>
      <c r="G44" s="304">
        <f>IF(OR((AND(G45="y",H45="y")),(AND(G46="y",H46="y"))),"Too Many CDs","")</f>
      </c>
      <c r="H44" s="304"/>
      <c r="I44" s="304">
        <f>IF(AND(I45="Y",I46="Y"),"Too Many Balls In Center",IF((IF(I45="Y",1,IF(I46="Y",1,0))+J46+K46+J45+K45)&gt;16,"Too Many Balls",""))</f>
      </c>
      <c r="J44" s="305"/>
      <c r="K44" s="305"/>
      <c r="L44" s="304">
        <f>IF(OR((AND(L45="y",M45="y")),(AND(L46="y",M46="y"))),"Not Both Stairs","")</f>
      </c>
      <c r="M44" s="304"/>
      <c r="N44" s="43"/>
      <c r="O44" s="304">
        <f>IF(OR((AND(O45="y",P45="y")),(AND(O46="y",P46="y"))),"Not Both Positions","")</f>
      </c>
      <c r="P44" s="304"/>
      <c r="Q44" s="43"/>
      <c r="R44" s="304">
        <f>IF(OR((AND(R45="y",S45="y")),(AND(R46="y",S46="y"))),"Too Much Food","")</f>
      </c>
      <c r="S44" s="304"/>
      <c r="T44" s="44"/>
      <c r="U44" s="17"/>
      <c r="V44" s="17"/>
      <c r="W44" s="17"/>
      <c r="X44" s="17"/>
      <c r="Y44" s="17"/>
    </row>
    <row r="45" spans="1:20" s="17" customFormat="1" ht="24.75" customHeight="1" thickBot="1">
      <c r="A45" s="132">
        <f>A42+1</f>
        <v>13</v>
      </c>
      <c r="B45" s="47">
        <v>1</v>
      </c>
      <c r="C45" s="48"/>
      <c r="D45" s="87"/>
      <c r="E45" s="133">
        <f>(IF(F45="y",$F$4,0))+(IF(G45="y",$G$4,0))+(IF(H45="y",$H$4,0))+(IF(I45="y",$I$4,0))+(IF((0&lt;J45)*(J45&lt;=16),J45*5,0))+(IF((0&lt;K45)*(K45&lt;=16),K45*2,0))+(IF(L45="y",$L$4,0))+(IF(M45="y",$M$4,0))+(IF((N45&gt;0)*(N45&lt;=3),N45*15,0))+(IF(O45="y",$O$4,0))+(IF(P45="y",$P$4,0))+(IF(Q45="y",$Q$4,0))+(IF(R45="y",$R$4,0))+(IF(S45="y",$S$4,0))+(IF((T45&gt;0)*(T45&lt;=3),T45*10,0))</f>
        <v>0</v>
      </c>
      <c r="F45" s="51"/>
      <c r="G45" s="51"/>
      <c r="H45" s="51"/>
      <c r="I45" s="51"/>
      <c r="J45" s="51"/>
      <c r="K45" s="51"/>
      <c r="L45" s="51"/>
      <c r="M45" s="51"/>
      <c r="N45" s="51"/>
      <c r="O45" s="51"/>
      <c r="P45" s="51"/>
      <c r="Q45" s="51"/>
      <c r="R45" s="51"/>
      <c r="S45" s="51"/>
      <c r="T45" s="51"/>
    </row>
    <row r="46" spans="1:20" s="17" customFormat="1" ht="24.75" customHeight="1" thickBot="1">
      <c r="A46" s="131"/>
      <c r="B46" s="52">
        <v>2</v>
      </c>
      <c r="C46" s="53"/>
      <c r="D46" s="87"/>
      <c r="E46" s="133">
        <f>(IF(F46="y",$F$4,0))+(IF(G46="y",$G$4,0))+(IF(H46="y",$H$4,0))+(IF(I46="y",$I$4,0))+(IF((0&lt;J46)*(J46&lt;=16),J46*5,0))+(IF((0&lt;K46)*(K46&lt;=16),K46*2,0))+(IF(L46="y",$L$4,0))+(IF(M46="y",$M$4,0))+(IF((N46&gt;0)*(N46&lt;=3),N46*15,0))+(IF(O46="y",$O$4,0))+(IF(P46="y",$P$4,0))+(IF(Q46="y",$Q$4,0))+(IF(R46="y",$R$4,0))+(IF(S46="y",$S$4,0))+(IF((T46&gt;0)*(T46&lt;=3),T46*10,0))</f>
        <v>0</v>
      </c>
      <c r="F46" s="51"/>
      <c r="G46" s="51"/>
      <c r="H46" s="51"/>
      <c r="I46" s="51"/>
      <c r="J46" s="51"/>
      <c r="K46" s="51"/>
      <c r="L46" s="51"/>
      <c r="M46" s="51"/>
      <c r="N46" s="51"/>
      <c r="O46" s="51"/>
      <c r="P46" s="51"/>
      <c r="Q46" s="51"/>
      <c r="R46" s="51"/>
      <c r="S46" s="51"/>
      <c r="T46" s="51"/>
    </row>
    <row r="47" spans="1:25" s="54" customFormat="1" ht="17.25" customHeight="1" thickBot="1">
      <c r="A47" s="37" t="s">
        <v>48</v>
      </c>
      <c r="B47" s="38" t="s">
        <v>49</v>
      </c>
      <c r="C47" s="39" t="s">
        <v>50</v>
      </c>
      <c r="D47" s="40" t="s">
        <v>51</v>
      </c>
      <c r="E47" s="134"/>
      <c r="F47" s="42"/>
      <c r="G47" s="304">
        <f>IF(OR((AND(G48="y",H48="y")),(AND(G49="y",H49="y"))),"Too Many CDs","")</f>
      </c>
      <c r="H47" s="304"/>
      <c r="I47" s="304">
        <f>IF(AND(I48="Y",I49="Y"),"Too Many Balls In Center",IF((IF(I48="Y",1,IF(I49="Y",1,0))+J49+K49+J48+K48)&gt;16,"Too Many Balls",""))</f>
      </c>
      <c r="J47" s="305"/>
      <c r="K47" s="305"/>
      <c r="L47" s="304">
        <f>IF(OR((AND(L48="y",M48="y")),(AND(L49="y",M49="y"))),"Not Both Stairs","")</f>
      </c>
      <c r="M47" s="304"/>
      <c r="N47" s="43"/>
      <c r="O47" s="304">
        <f>IF(OR((AND(O48="y",P48="y")),(AND(O49="y",P49="y"))),"Not Both Positions","")</f>
      </c>
      <c r="P47" s="304"/>
      <c r="Q47" s="43"/>
      <c r="R47" s="304">
        <f>IF(OR((AND(R48="y",S48="y")),(AND(R49="y",S49="y"))),"Too Much Food","")</f>
      </c>
      <c r="S47" s="304"/>
      <c r="T47" s="44"/>
      <c r="U47" s="17"/>
      <c r="V47" s="17"/>
      <c r="W47" s="17"/>
      <c r="X47" s="17"/>
      <c r="Y47" s="17"/>
    </row>
    <row r="48" spans="1:20" s="17" customFormat="1" ht="24.75" customHeight="1" thickBot="1">
      <c r="A48" s="132">
        <f>A45+1</f>
        <v>14</v>
      </c>
      <c r="B48" s="47">
        <v>1</v>
      </c>
      <c r="C48" s="48"/>
      <c r="D48" s="87"/>
      <c r="E48" s="133">
        <f>(IF(F48="y",$F$4,0))+(IF(G48="y",$G$4,0))+(IF(H48="y",$H$4,0))+(IF(I48="y",$I$4,0))+(IF((0&lt;J48)*(J48&lt;=16),J48*5,0))+(IF((0&lt;K48)*(K48&lt;=16),K48*2,0))+(IF(L48="y",$L$4,0))+(IF(M48="y",$M$4,0))+(IF((N48&gt;0)*(N48&lt;=3),N48*15,0))+(IF(O48="y",$O$4,0))+(IF(P48="y",$P$4,0))+(IF(Q48="y",$Q$4,0))+(IF(R48="y",$R$4,0))+(IF(S48="y",$S$4,0))+(IF((T48&gt;0)*(T48&lt;=3),T48*10,0))</f>
        <v>0</v>
      </c>
      <c r="F48" s="51"/>
      <c r="G48" s="51"/>
      <c r="H48" s="51"/>
      <c r="I48" s="51"/>
      <c r="J48" s="51"/>
      <c r="K48" s="51"/>
      <c r="L48" s="51"/>
      <c r="M48" s="51"/>
      <c r="N48" s="51"/>
      <c r="O48" s="51"/>
      <c r="P48" s="51"/>
      <c r="Q48" s="51"/>
      <c r="R48" s="51"/>
      <c r="S48" s="51"/>
      <c r="T48" s="51"/>
    </row>
    <row r="49" spans="1:20" s="17" customFormat="1" ht="24.75" customHeight="1" thickBot="1">
      <c r="A49" s="131"/>
      <c r="B49" s="52">
        <v>2</v>
      </c>
      <c r="C49" s="53"/>
      <c r="D49" s="87"/>
      <c r="E49" s="133">
        <f>(IF(F49="y",$F$4,0))+(IF(G49="y",$G$4,0))+(IF(H49="y",$H$4,0))+(IF(I49="y",$I$4,0))+(IF((0&lt;J49)*(J49&lt;=16),J49*5,0))+(IF((0&lt;K49)*(K49&lt;=16),K49*2,0))+(IF(L49="y",$L$4,0))+(IF(M49="y",$M$4,0))+(IF((N49&gt;0)*(N49&lt;=3),N49*15,0))+(IF(O49="y",$O$4,0))+(IF(P49="y",$P$4,0))+(IF(Q49="y",$Q$4,0))+(IF(R49="y",$R$4,0))+(IF(S49="y",$S$4,0))+(IF((T49&gt;0)*(T49&lt;=3),T49*10,0))</f>
        <v>0</v>
      </c>
      <c r="F49" s="51"/>
      <c r="G49" s="51"/>
      <c r="H49" s="51"/>
      <c r="I49" s="51"/>
      <c r="J49" s="51"/>
      <c r="K49" s="51"/>
      <c r="L49" s="51"/>
      <c r="M49" s="51"/>
      <c r="N49" s="51"/>
      <c r="O49" s="51"/>
      <c r="P49" s="51"/>
      <c r="Q49" s="51"/>
      <c r="R49" s="51"/>
      <c r="S49" s="51"/>
      <c r="T49" s="51"/>
    </row>
    <row r="50" spans="1:25" s="54" customFormat="1" ht="17.25" customHeight="1" thickBot="1">
      <c r="A50" s="37" t="s">
        <v>48</v>
      </c>
      <c r="B50" s="38" t="s">
        <v>49</v>
      </c>
      <c r="C50" s="39" t="s">
        <v>50</v>
      </c>
      <c r="D50" s="40" t="s">
        <v>51</v>
      </c>
      <c r="E50" s="134"/>
      <c r="F50" s="42"/>
      <c r="G50" s="304">
        <f>IF(OR((AND(G51="y",H51="y")),(AND(G52="y",H52="y"))),"Too Many CDs","")</f>
      </c>
      <c r="H50" s="304"/>
      <c r="I50" s="304">
        <f>IF(AND(I51="Y",I52="Y"),"Too Many Balls In Center",IF((IF(I51="Y",1,IF(I52="Y",1,0))+J52+K52+J51+K51)&gt;16,"Too Many Balls",""))</f>
      </c>
      <c r="J50" s="305"/>
      <c r="K50" s="305"/>
      <c r="L50" s="304">
        <f>IF(OR((AND(L51="y",M51="y")),(AND(L52="y",M52="y"))),"Not Both Stairs","")</f>
      </c>
      <c r="M50" s="304"/>
      <c r="N50" s="43"/>
      <c r="O50" s="304">
        <f>IF(OR((AND(O51="y",P51="y")),(AND(O52="y",P52="y"))),"Not Both Positions","")</f>
      </c>
      <c r="P50" s="304"/>
      <c r="Q50" s="43"/>
      <c r="R50" s="304">
        <f>IF(OR((AND(R51="y",S51="y")),(AND(R52="y",S52="y"))),"Too Much Food","")</f>
      </c>
      <c r="S50" s="304"/>
      <c r="T50" s="44"/>
      <c r="U50" s="17"/>
      <c r="V50" s="17"/>
      <c r="W50" s="17"/>
      <c r="X50" s="17"/>
      <c r="Y50" s="17"/>
    </row>
    <row r="51" spans="1:20" s="17" customFormat="1" ht="24.75" customHeight="1" thickBot="1">
      <c r="A51" s="132">
        <f>A48+1</f>
        <v>15</v>
      </c>
      <c r="B51" s="47">
        <v>1</v>
      </c>
      <c r="C51" s="48"/>
      <c r="D51" s="87"/>
      <c r="E51" s="133">
        <f>(IF(F51="y",$F$4,0))+(IF(G51="y",$G$4,0))+(IF(H51="y",$H$4,0))+(IF(I51="y",$I$4,0))+(IF((0&lt;J51)*(J51&lt;=16),J51*5,0))+(IF((0&lt;K51)*(K51&lt;=16),K51*2,0))+(IF(L51="y",$L$4,0))+(IF(M51="y",$M$4,0))+(IF((N51&gt;0)*(N51&lt;=3),N51*15,0))+(IF(O51="y",$O$4,0))+(IF(P51="y",$P$4,0))+(IF(Q51="y",$Q$4,0))+(IF(R51="y",$R$4,0))+(IF(S51="y",$S$4,0))+(IF((T51&gt;0)*(T51&lt;=3),T51*10,0))</f>
        <v>0</v>
      </c>
      <c r="F51" s="51"/>
      <c r="G51" s="51"/>
      <c r="H51" s="51"/>
      <c r="I51" s="51"/>
      <c r="J51" s="51"/>
      <c r="K51" s="51"/>
      <c r="L51" s="51"/>
      <c r="M51" s="51"/>
      <c r="N51" s="51"/>
      <c r="O51" s="51"/>
      <c r="P51" s="51"/>
      <c r="Q51" s="51"/>
      <c r="R51" s="51"/>
      <c r="S51" s="51"/>
      <c r="T51" s="51"/>
    </row>
    <row r="52" spans="1:20" s="17" customFormat="1" ht="24.75" customHeight="1" thickBot="1">
      <c r="A52" s="131"/>
      <c r="B52" s="52">
        <v>2</v>
      </c>
      <c r="C52" s="53"/>
      <c r="D52" s="87"/>
      <c r="E52" s="133">
        <f>(IF(F52="y",$F$4,0))+(IF(G52="y",$G$4,0))+(IF(H52="y",$H$4,0))+(IF(I52="y",$I$4,0))+(IF((0&lt;J52)*(J52&lt;=16),J52*5,0))+(IF((0&lt;K52)*(K52&lt;=16),K52*2,0))+(IF(L52="y",$L$4,0))+(IF(M52="y",$M$4,0))+(IF((N52&gt;0)*(N52&lt;=3),N52*15,0))+(IF(O52="y",$O$4,0))+(IF(P52="y",$P$4,0))+(IF(Q52="y",$Q$4,0))+(IF(R52="y",$R$4,0))+(IF(S52="y",$S$4,0))+(IF((T52&gt;0)*(T52&lt;=3),T52*10,0))</f>
        <v>0</v>
      </c>
      <c r="F52" s="51"/>
      <c r="G52" s="51"/>
      <c r="H52" s="51"/>
      <c r="I52" s="51"/>
      <c r="J52" s="51"/>
      <c r="K52" s="51"/>
      <c r="L52" s="51"/>
      <c r="M52" s="51"/>
      <c r="N52" s="51"/>
      <c r="O52" s="51"/>
      <c r="P52" s="51"/>
      <c r="Q52" s="51"/>
      <c r="R52" s="51"/>
      <c r="S52" s="51"/>
      <c r="T52" s="51"/>
    </row>
    <row r="53" spans="1:25" s="54" customFormat="1" ht="17.25" customHeight="1" thickBot="1">
      <c r="A53" s="37" t="s">
        <v>48</v>
      </c>
      <c r="B53" s="38" t="s">
        <v>49</v>
      </c>
      <c r="C53" s="39" t="s">
        <v>50</v>
      </c>
      <c r="D53" s="40" t="s">
        <v>51</v>
      </c>
      <c r="E53" s="134"/>
      <c r="F53" s="42"/>
      <c r="G53" s="304">
        <f>IF(OR((AND(G54="y",H54="y")),(AND(G55="y",H55="y"))),"Too Many CDs","")</f>
      </c>
      <c r="H53" s="304"/>
      <c r="I53" s="304">
        <f>IF(AND(I54="Y",I55="Y"),"Too Many Balls In Center",IF((IF(I54="Y",1,IF(I55="Y",1,0))+J55+K55+J54+K54)&gt;16,"Too Many Balls",""))</f>
      </c>
      <c r="J53" s="305"/>
      <c r="K53" s="305"/>
      <c r="L53" s="304">
        <f>IF(OR((AND(L54="y",M54="y")),(AND(L55="y",M55="y"))),"Not Both Stairs","")</f>
      </c>
      <c r="M53" s="304"/>
      <c r="N53" s="43"/>
      <c r="O53" s="304">
        <f>IF(OR((AND(O54="y",P54="y")),(AND(O55="y",P55="y"))),"Not Both Positions","")</f>
      </c>
      <c r="P53" s="304"/>
      <c r="Q53" s="43"/>
      <c r="R53" s="304">
        <f>IF(OR((AND(R54="y",S54="y")),(AND(R55="y",S55="y"))),"Too Much Food","")</f>
      </c>
      <c r="S53" s="304"/>
      <c r="T53" s="44"/>
      <c r="U53" s="17"/>
      <c r="V53" s="17"/>
      <c r="W53" s="17"/>
      <c r="X53" s="17"/>
      <c r="Y53" s="17"/>
    </row>
    <row r="54" spans="1:20" s="17" customFormat="1" ht="24.75" customHeight="1" thickBot="1">
      <c r="A54" s="132">
        <f>A51+1</f>
        <v>16</v>
      </c>
      <c r="B54" s="47">
        <v>1</v>
      </c>
      <c r="C54" s="48"/>
      <c r="D54" s="87"/>
      <c r="E54" s="133">
        <f>(IF(F54="y",$F$4,0))+(IF(G54="y",$G$4,0))+(IF(H54="y",$H$4,0))+(IF(I54="y",$I$4,0))+(IF((0&lt;J54)*(J54&lt;=16),J54*5,0))+(IF((0&lt;K54)*(K54&lt;=16),K54*2,0))+(IF(L54="y",$L$4,0))+(IF(M54="y",$M$4,0))+(IF((N54&gt;0)*(N54&lt;=3),N54*15,0))+(IF(O54="y",$O$4,0))+(IF(P54="y",$P$4,0))+(IF(Q54="y",$Q$4,0))+(IF(R54="y",$R$4,0))+(IF(S54="y",$S$4,0))+(IF((T54&gt;0)*(T54&lt;=3),T54*10,0))</f>
        <v>0</v>
      </c>
      <c r="F54" s="51"/>
      <c r="G54" s="51"/>
      <c r="H54" s="51"/>
      <c r="I54" s="51"/>
      <c r="J54" s="51"/>
      <c r="K54" s="51"/>
      <c r="L54" s="51"/>
      <c r="M54" s="51"/>
      <c r="N54" s="51"/>
      <c r="O54" s="51"/>
      <c r="P54" s="51"/>
      <c r="Q54" s="51"/>
      <c r="R54" s="51"/>
      <c r="S54" s="51"/>
      <c r="T54" s="51"/>
    </row>
    <row r="55" spans="1:20" s="17" customFormat="1" ht="24.75" customHeight="1" thickBot="1">
      <c r="A55" s="131"/>
      <c r="B55" s="52">
        <v>2</v>
      </c>
      <c r="C55" s="53"/>
      <c r="D55" s="87"/>
      <c r="E55" s="133">
        <f>(IF(F55="y",$F$4,0))+(IF(G55="y",$G$4,0))+(IF(H55="y",$H$4,0))+(IF(I55="y",$I$4,0))+(IF((0&lt;J55)*(J55&lt;=16),J55*5,0))+(IF((0&lt;K55)*(K55&lt;=16),K55*2,0))+(IF(L55="y",$L$4,0))+(IF(M55="y",$M$4,0))+(IF((N55&gt;0)*(N55&lt;=3),N55*15,0))+(IF(O55="y",$O$4,0))+(IF(P55="y",$P$4,0))+(IF(Q55="y",$Q$4,0))+(IF(R55="y",$R$4,0))+(IF(S55="y",$S$4,0))+(IF((T55&gt;0)*(T55&lt;=3),T55*10,0))</f>
        <v>0</v>
      </c>
      <c r="F55" s="51"/>
      <c r="G55" s="51"/>
      <c r="H55" s="51"/>
      <c r="I55" s="51"/>
      <c r="J55" s="51"/>
      <c r="K55" s="51"/>
      <c r="L55" s="51"/>
      <c r="M55" s="51"/>
      <c r="N55" s="51"/>
      <c r="O55" s="51"/>
      <c r="P55" s="51"/>
      <c r="Q55" s="51"/>
      <c r="R55" s="51"/>
      <c r="S55" s="51"/>
      <c r="T55" s="51"/>
    </row>
    <row r="56" spans="1:25" s="54" customFormat="1" ht="17.25" customHeight="1" thickBot="1">
      <c r="A56" s="37" t="s">
        <v>48</v>
      </c>
      <c r="B56" s="38" t="s">
        <v>49</v>
      </c>
      <c r="C56" s="39" t="s">
        <v>50</v>
      </c>
      <c r="D56" s="40" t="s">
        <v>51</v>
      </c>
      <c r="E56" s="134"/>
      <c r="F56" s="42"/>
      <c r="G56" s="304">
        <f>IF(OR((AND(G57="y",H57="y")),(AND(G58="y",H58="y"))),"Too Many CDs","")</f>
      </c>
      <c r="H56" s="304"/>
      <c r="I56" s="304">
        <f>IF(AND(I57="Y",I58="Y"),"Too Many Balls In Center",IF((IF(I57="Y",1,IF(I58="Y",1,0))+J58+K58+J57+K57)&gt;16,"Too Many Balls",""))</f>
      </c>
      <c r="J56" s="305"/>
      <c r="K56" s="305"/>
      <c r="L56" s="304">
        <f>IF(OR((AND(L57="y",M57="y")),(AND(L58="y",M58="y"))),"Not Both Stairs","")</f>
      </c>
      <c r="M56" s="304"/>
      <c r="N56" s="43"/>
      <c r="O56" s="304">
        <f>IF(OR((AND(O57="y",P57="y")),(AND(O58="y",P58="y"))),"Not Both Positions","")</f>
      </c>
      <c r="P56" s="304"/>
      <c r="Q56" s="43"/>
      <c r="R56" s="304">
        <f>IF(OR((AND(R57="y",S57="y")),(AND(R58="y",S58="y"))),"Too Much Food","")</f>
      </c>
      <c r="S56" s="304"/>
      <c r="T56" s="44"/>
      <c r="U56" s="17"/>
      <c r="V56" s="17"/>
      <c r="W56" s="17"/>
      <c r="X56" s="17"/>
      <c r="Y56" s="17"/>
    </row>
    <row r="57" spans="1:20" s="17" customFormat="1" ht="24.75" customHeight="1" thickBot="1">
      <c r="A57" s="132">
        <f>A54+1</f>
        <v>17</v>
      </c>
      <c r="B57" s="47">
        <v>1</v>
      </c>
      <c r="C57" s="48"/>
      <c r="D57" s="87"/>
      <c r="E57" s="133">
        <f>(IF(F57="y",$F$4,0))+(IF(G57="y",$G$4,0))+(IF(H57="y",$H$4,0))+(IF(I57="y",$I$4,0))+(IF((0&lt;J57)*(J57&lt;=16),J57*5,0))+(IF((0&lt;K57)*(K57&lt;=16),K57*2,0))+(IF(L57="y",$L$4,0))+(IF(M57="y",$M$4,0))+(IF((N57&gt;0)*(N57&lt;=3),N57*15,0))+(IF(O57="y",$O$4,0))+(IF(P57="y",$P$4,0))+(IF(Q57="y",$Q$4,0))+(IF(R57="y",$R$4,0))+(IF(S57="y",$S$4,0))+(IF((T57&gt;0)*(T57&lt;=3),T57*10,0))</f>
        <v>0</v>
      </c>
      <c r="F57" s="51"/>
      <c r="G57" s="51"/>
      <c r="H57" s="51"/>
      <c r="I57" s="51"/>
      <c r="J57" s="51"/>
      <c r="K57" s="51"/>
      <c r="L57" s="51"/>
      <c r="M57" s="51"/>
      <c r="N57" s="51"/>
      <c r="O57" s="51"/>
      <c r="P57" s="51"/>
      <c r="Q57" s="51"/>
      <c r="R57" s="51"/>
      <c r="S57" s="51"/>
      <c r="T57" s="51"/>
    </row>
    <row r="58" spans="1:20" s="17" customFormat="1" ht="24.75" customHeight="1" thickBot="1">
      <c r="A58" s="131"/>
      <c r="B58" s="52">
        <v>2</v>
      </c>
      <c r="C58" s="53"/>
      <c r="D58" s="87"/>
      <c r="E58" s="133">
        <f>(IF(F58="y",$F$4,0))+(IF(G58="y",$G$4,0))+(IF(H58="y",$H$4,0))+(IF(I58="y",$I$4,0))+(IF((0&lt;J58)*(J58&lt;=16),J58*5,0))+(IF((0&lt;K58)*(K58&lt;=16),K58*2,0))+(IF(L58="y",$L$4,0))+(IF(M58="y",$M$4,0))+(IF((N58&gt;0)*(N58&lt;=3),N58*15,0))+(IF(O58="y",$O$4,0))+(IF(P58="y",$P$4,0))+(IF(Q58="y",$Q$4,0))+(IF(R58="y",$R$4,0))+(IF(S58="y",$S$4,0))+(IF((T58&gt;0)*(T58&lt;=3),T58*10,0))</f>
        <v>0</v>
      </c>
      <c r="F58" s="51"/>
      <c r="G58" s="51"/>
      <c r="H58" s="51"/>
      <c r="I58" s="51"/>
      <c r="J58" s="51"/>
      <c r="K58" s="51"/>
      <c r="L58" s="51"/>
      <c r="M58" s="51"/>
      <c r="N58" s="51"/>
      <c r="O58" s="51"/>
      <c r="P58" s="51"/>
      <c r="Q58" s="51"/>
      <c r="R58" s="51"/>
      <c r="S58" s="51"/>
      <c r="T58" s="51"/>
    </row>
    <row r="59" spans="1:25" s="54" customFormat="1" ht="17.25" customHeight="1" thickBot="1">
      <c r="A59" s="37" t="s">
        <v>48</v>
      </c>
      <c r="B59" s="38" t="s">
        <v>49</v>
      </c>
      <c r="C59" s="39" t="s">
        <v>50</v>
      </c>
      <c r="D59" s="40" t="s">
        <v>51</v>
      </c>
      <c r="E59" s="134"/>
      <c r="F59" s="42"/>
      <c r="G59" s="304">
        <f>IF(OR((AND(G60="y",H60="y")),(AND(G61="y",H61="y"))),"Too Many CDs","")</f>
      </c>
      <c r="H59" s="304"/>
      <c r="I59" s="304">
        <f>IF(AND(I60="Y",I61="Y"),"Too Many Balls In Center",IF((IF(I60="Y",1,IF(I61="Y",1,0))+J61+K61+J60+K60)&gt;16,"Too Many Balls",""))</f>
      </c>
      <c r="J59" s="305"/>
      <c r="K59" s="305"/>
      <c r="L59" s="304">
        <f>IF(OR((AND(L60="y",M60="y")),(AND(L61="y",M61="y"))),"Not Both Stairs","")</f>
      </c>
      <c r="M59" s="304"/>
      <c r="N59" s="43"/>
      <c r="O59" s="304">
        <f>IF(OR((AND(O60="y",P60="y")),(AND(O61="y",P61="y"))),"Not Both Positions","")</f>
      </c>
      <c r="P59" s="304"/>
      <c r="Q59" s="43"/>
      <c r="R59" s="304">
        <f>IF(OR((AND(R60="y",S60="y")),(AND(R61="y",S61="y"))),"Too Much Food","")</f>
      </c>
      <c r="S59" s="304"/>
      <c r="T59" s="44"/>
      <c r="U59" s="17"/>
      <c r="V59" s="17"/>
      <c r="W59" s="17"/>
      <c r="X59" s="17"/>
      <c r="Y59" s="17"/>
    </row>
    <row r="60" spans="1:20" s="17" customFormat="1" ht="24.75" customHeight="1" thickBot="1">
      <c r="A60" s="132">
        <f>A57+1</f>
        <v>18</v>
      </c>
      <c r="B60" s="47">
        <v>1</v>
      </c>
      <c r="C60" s="48"/>
      <c r="D60" s="87"/>
      <c r="E60" s="133">
        <f>(IF(F60="y",$F$4,0))+(IF(G60="y",$G$4,0))+(IF(H60="y",$H$4,0))+(IF(I60="y",$I$4,0))+(IF((0&lt;J60)*(J60&lt;=16),J60*5,0))+(IF((0&lt;K60)*(K60&lt;=16),K60*2,0))+(IF(L60="y",$L$4,0))+(IF(M60="y",$M$4,0))+(IF((N60&gt;0)*(N60&lt;=3),N60*15,0))+(IF(O60="y",$O$4,0))+(IF(P60="y",$P$4,0))+(IF(Q60="y",$Q$4,0))+(IF(R60="y",$R$4,0))+(IF(S60="y",$S$4,0))+(IF((T60&gt;0)*(T60&lt;=3),T60*10,0))</f>
        <v>0</v>
      </c>
      <c r="F60" s="51"/>
      <c r="G60" s="51"/>
      <c r="H60" s="51"/>
      <c r="I60" s="51"/>
      <c r="J60" s="51"/>
      <c r="K60" s="51"/>
      <c r="L60" s="51"/>
      <c r="M60" s="51"/>
      <c r="N60" s="51"/>
      <c r="O60" s="51"/>
      <c r="P60" s="51"/>
      <c r="Q60" s="51"/>
      <c r="R60" s="51"/>
      <c r="S60" s="51"/>
      <c r="T60" s="51"/>
    </row>
    <row r="61" spans="1:20" s="17" customFormat="1" ht="24.75" customHeight="1" thickBot="1">
      <c r="A61" s="131"/>
      <c r="B61" s="52">
        <v>2</v>
      </c>
      <c r="C61" s="53"/>
      <c r="D61" s="87"/>
      <c r="E61" s="133">
        <f>(IF(F61="y",$F$4,0))+(IF(G61="y",$G$4,0))+(IF(H61="y",$H$4,0))+(IF(I61="y",$I$4,0))+(IF((0&lt;J61)*(J61&lt;=16),J61*5,0))+(IF((0&lt;K61)*(K61&lt;=16),K61*2,0))+(IF(L61="y",$L$4,0))+(IF(M61="y",$M$4,0))+(IF((N61&gt;0)*(N61&lt;=3),N61*15,0))+(IF(O61="y",$O$4,0))+(IF(P61="y",$P$4,0))+(IF(Q61="y",$Q$4,0))+(IF(R61="y",$R$4,0))+(IF(S61="y",$S$4,0))+(IF((T61&gt;0)*(T61&lt;=3),T61*10,0))</f>
        <v>0</v>
      </c>
      <c r="F61" s="51"/>
      <c r="G61" s="51"/>
      <c r="H61" s="51"/>
      <c r="I61" s="51"/>
      <c r="J61" s="51"/>
      <c r="K61" s="51"/>
      <c r="L61" s="51"/>
      <c r="M61" s="51"/>
      <c r="N61" s="51"/>
      <c r="O61" s="51"/>
      <c r="P61" s="51"/>
      <c r="Q61" s="51"/>
      <c r="R61" s="51"/>
      <c r="S61" s="51"/>
      <c r="T61" s="51"/>
    </row>
    <row r="62" spans="1:25" s="54" customFormat="1" ht="17.25" customHeight="1" thickBot="1">
      <c r="A62" s="37" t="s">
        <v>48</v>
      </c>
      <c r="B62" s="38" t="s">
        <v>49</v>
      </c>
      <c r="C62" s="39" t="s">
        <v>50</v>
      </c>
      <c r="D62" s="40" t="s">
        <v>51</v>
      </c>
      <c r="E62" s="134"/>
      <c r="F62" s="42"/>
      <c r="G62" s="304">
        <f>IF(OR((AND(G63="y",H63="y")),(AND(G64="y",H64="y"))),"Too Many CDs","")</f>
      </c>
      <c r="H62" s="304"/>
      <c r="I62" s="304">
        <f>IF(AND(I63="Y",I64="Y"),"Too Many Balls In Center",IF((IF(I63="Y",1,IF(I64="Y",1,0))+J64+K64+J63+K63)&gt;16,"Too Many Balls",""))</f>
      </c>
      <c r="J62" s="305"/>
      <c r="K62" s="305"/>
      <c r="L62" s="304">
        <f>IF(OR((AND(L63="y",M63="y")),(AND(L64="y",M64="y"))),"Not Both Stairs","")</f>
      </c>
      <c r="M62" s="304"/>
      <c r="N62" s="43"/>
      <c r="O62" s="304">
        <f>IF(OR((AND(O63="y",P63="y")),(AND(O64="y",P64="y"))),"Not Both Positions","")</f>
      </c>
      <c r="P62" s="304"/>
      <c r="Q62" s="43"/>
      <c r="R62" s="304">
        <f>IF(OR((AND(R63="y",S63="y")),(AND(R64="y",S64="y"))),"Too Much Food","")</f>
      </c>
      <c r="S62" s="304"/>
      <c r="T62" s="44"/>
      <c r="U62" s="17"/>
      <c r="V62" s="17"/>
      <c r="W62" s="17"/>
      <c r="X62" s="17"/>
      <c r="Y62" s="17"/>
    </row>
    <row r="63" spans="1:20" s="17" customFormat="1" ht="24.75" customHeight="1" thickBot="1">
      <c r="A63" s="132">
        <f>A60+1</f>
        <v>19</v>
      </c>
      <c r="B63" s="47">
        <v>1</v>
      </c>
      <c r="C63" s="48"/>
      <c r="D63" s="87"/>
      <c r="E63" s="133">
        <f>(IF(F63="y",$F$4,0))+(IF(G63="y",$G$4,0))+(IF(H63="y",$H$4,0))+(IF(I63="y",$I$4,0))+(IF((0&lt;J63)*(J63&lt;=16),J63*5,0))+(IF((0&lt;K63)*(K63&lt;=16),K63*2,0))+(IF(L63="y",$L$4,0))+(IF(M63="y",$M$4,0))+(IF((N63&gt;0)*(N63&lt;=3),N63*15,0))+(IF(O63="y",$O$4,0))+(IF(P63="y",$P$4,0))+(IF(Q63="y",$Q$4,0))+(IF(R63="y",$R$4,0))+(IF(S63="y",$S$4,0))+(IF((T63&gt;0)*(T63&lt;=3),T63*10,0))</f>
        <v>0</v>
      </c>
      <c r="F63" s="51"/>
      <c r="G63" s="51"/>
      <c r="H63" s="51"/>
      <c r="I63" s="51"/>
      <c r="J63" s="51"/>
      <c r="K63" s="51"/>
      <c r="L63" s="51"/>
      <c r="M63" s="51"/>
      <c r="N63" s="51"/>
      <c r="O63" s="51"/>
      <c r="P63" s="51"/>
      <c r="Q63" s="51"/>
      <c r="R63" s="51"/>
      <c r="S63" s="51"/>
      <c r="T63" s="51"/>
    </row>
    <row r="64" spans="1:20" s="17" customFormat="1" ht="24.75" customHeight="1" thickBot="1">
      <c r="A64" s="131"/>
      <c r="B64" s="52">
        <v>2</v>
      </c>
      <c r="C64" s="53"/>
      <c r="D64" s="87"/>
      <c r="E64" s="133">
        <f>(IF(F64="y",$F$4,0))+(IF(G64="y",$G$4,0))+(IF(H64="y",$H$4,0))+(IF(I64="y",$I$4,0))+(IF((0&lt;J64)*(J64&lt;=16),J64*5,0))+(IF((0&lt;K64)*(K64&lt;=16),K64*2,0))+(IF(L64="y",$L$4,0))+(IF(M64="y",$M$4,0))+(IF((N64&gt;0)*(N64&lt;=3),N64*15,0))+(IF(O64="y",$O$4,0))+(IF(P64="y",$P$4,0))+(IF(Q64="y",$Q$4,0))+(IF(R64="y",$R$4,0))+(IF(S64="y",$S$4,0))+(IF((T64&gt;0)*(T64&lt;=3),T64*10,0))</f>
        <v>0</v>
      </c>
      <c r="F64" s="51"/>
      <c r="G64" s="51"/>
      <c r="H64" s="51"/>
      <c r="I64" s="51"/>
      <c r="J64" s="51"/>
      <c r="K64" s="51"/>
      <c r="L64" s="51"/>
      <c r="M64" s="51"/>
      <c r="N64" s="51"/>
      <c r="O64" s="51"/>
      <c r="P64" s="51"/>
      <c r="Q64" s="51"/>
      <c r="R64" s="51"/>
      <c r="S64" s="51"/>
      <c r="T64" s="51"/>
    </row>
    <row r="65" spans="1:25" s="54" customFormat="1" ht="17.25" customHeight="1" thickBot="1">
      <c r="A65" s="37" t="s">
        <v>48</v>
      </c>
      <c r="B65" s="38" t="s">
        <v>49</v>
      </c>
      <c r="C65" s="39" t="s">
        <v>50</v>
      </c>
      <c r="D65" s="40" t="s">
        <v>51</v>
      </c>
      <c r="E65" s="134"/>
      <c r="F65" s="42"/>
      <c r="G65" s="304">
        <f>IF(OR((AND(G66="y",H66="y")),(AND(G67="y",H67="y"))),"Too Many CDs","")</f>
      </c>
      <c r="H65" s="304"/>
      <c r="I65" s="304">
        <f>IF(AND(I66="Y",I67="Y"),"Too Many Balls In Center",IF((IF(I66="Y",1,IF(I67="Y",1,0))+J67+K67+J66+K66)&gt;16,"Too Many Balls",""))</f>
      </c>
      <c r="J65" s="305"/>
      <c r="K65" s="305"/>
      <c r="L65" s="304">
        <f>IF(OR((AND(L66="y",M66="y")),(AND(L67="y",M67="y"))),"Not Both Stairs","")</f>
      </c>
      <c r="M65" s="304"/>
      <c r="N65" s="43"/>
      <c r="O65" s="304">
        <f>IF(OR((AND(O66="y",P66="y")),(AND(O67="y",P67="y"))),"Not Both Positions","")</f>
      </c>
      <c r="P65" s="304"/>
      <c r="Q65" s="43"/>
      <c r="R65" s="304">
        <f>IF(OR((AND(R66="y",S66="y")),(AND(R67="y",S67="y"))),"Too Much Food","")</f>
      </c>
      <c r="S65" s="304"/>
      <c r="T65" s="44"/>
      <c r="U65" s="17"/>
      <c r="V65" s="17"/>
      <c r="W65" s="17"/>
      <c r="X65" s="17"/>
      <c r="Y65" s="17"/>
    </row>
    <row r="66" spans="1:20" s="17" customFormat="1" ht="24.75" customHeight="1" thickBot="1">
      <c r="A66" s="132">
        <f>A63+1</f>
        <v>20</v>
      </c>
      <c r="B66" s="47">
        <v>1</v>
      </c>
      <c r="C66" s="48"/>
      <c r="D66" s="87"/>
      <c r="E66" s="133">
        <f>(IF(F66="y",$F$4,0))+(IF(G66="y",$G$4,0))+(IF(H66="y",$H$4,0))+(IF(I66="y",$I$4,0))+(IF((0&lt;J66)*(J66&lt;=16),J66*5,0))+(IF((0&lt;K66)*(K66&lt;=16),K66*2,0))+(IF(L66="y",$L$4,0))+(IF(M66="y",$M$4,0))+(IF((N66&gt;0)*(N66&lt;=3),N66*15,0))+(IF(O66="y",$O$4,0))+(IF(P66="y",$P$4,0))+(IF(Q66="y",$Q$4,0))+(IF(R66="y",$R$4,0))+(IF(S66="y",$S$4,0))+(IF((T66&gt;0)*(T66&lt;=3),T66*10,0))</f>
        <v>0</v>
      </c>
      <c r="F66" s="51"/>
      <c r="G66" s="51"/>
      <c r="H66" s="51"/>
      <c r="I66" s="51"/>
      <c r="J66" s="51"/>
      <c r="K66" s="51"/>
      <c r="L66" s="51"/>
      <c r="M66" s="51"/>
      <c r="N66" s="51"/>
      <c r="O66" s="51"/>
      <c r="P66" s="51"/>
      <c r="Q66" s="51"/>
      <c r="R66" s="51"/>
      <c r="S66" s="51"/>
      <c r="T66" s="51"/>
    </row>
    <row r="67" spans="1:20" s="17" customFormat="1" ht="24.75" customHeight="1" thickBot="1">
      <c r="A67" s="131"/>
      <c r="B67" s="52">
        <v>2</v>
      </c>
      <c r="C67" s="53"/>
      <c r="D67" s="87"/>
      <c r="E67" s="133">
        <f>(IF(F67="y",$F$4,0))+(IF(G67="y",$G$4,0))+(IF(H67="y",$H$4,0))+(IF(I67="y",$I$4,0))+(IF((0&lt;J67)*(J67&lt;=16),J67*5,0))+(IF((0&lt;K67)*(K67&lt;=16),K67*2,0))+(IF(L67="y",$L$4,0))+(IF(M67="y",$M$4,0))+(IF((N67&gt;0)*(N67&lt;=3),N67*15,0))+(IF(O67="y",$O$4,0))+(IF(P67="y",$P$4,0))+(IF(Q67="y",$Q$4,0))+(IF(R67="y",$R$4,0))+(IF(S67="y",$S$4,0))+(IF((T67&gt;0)*(T67&lt;=3),T67*10,0))</f>
        <v>0</v>
      </c>
      <c r="F67" s="51"/>
      <c r="G67" s="51"/>
      <c r="H67" s="51"/>
      <c r="I67" s="51"/>
      <c r="J67" s="51"/>
      <c r="K67" s="51"/>
      <c r="L67" s="51"/>
      <c r="M67" s="51"/>
      <c r="N67" s="51"/>
      <c r="O67" s="51"/>
      <c r="P67" s="51"/>
      <c r="Q67" s="51"/>
      <c r="R67" s="51"/>
      <c r="S67" s="51"/>
      <c r="T67" s="51"/>
    </row>
    <row r="68" spans="1:25" s="54" customFormat="1" ht="17.25" customHeight="1" thickBot="1">
      <c r="A68" s="37" t="s">
        <v>48</v>
      </c>
      <c r="B68" s="38" t="s">
        <v>49</v>
      </c>
      <c r="C68" s="39" t="s">
        <v>50</v>
      </c>
      <c r="D68" s="40" t="s">
        <v>51</v>
      </c>
      <c r="E68" s="134"/>
      <c r="F68" s="42"/>
      <c r="G68" s="304">
        <f>IF(OR((AND(G69="y",H69="y")),(AND(G70="y",H70="y"))),"Too Many CDs","")</f>
      </c>
      <c r="H68" s="304"/>
      <c r="I68" s="304">
        <f>IF(AND(I69="Y",I70="Y"),"Too Many Balls In Center",IF((IF(I69="Y",1,IF(I70="Y",1,0))+J70+K70+J69+K69)&gt;16,"Too Many Balls",""))</f>
      </c>
      <c r="J68" s="305"/>
      <c r="K68" s="305"/>
      <c r="L68" s="304">
        <f>IF(OR((AND(L69="y",M69="y")),(AND(L70="y",M70="y"))),"Not Both Stairs","")</f>
      </c>
      <c r="M68" s="304"/>
      <c r="N68" s="43"/>
      <c r="O68" s="304">
        <f>IF(OR((AND(O69="y",P69="y")),(AND(O70="y",P70="y"))),"Not Both Positions","")</f>
      </c>
      <c r="P68" s="304"/>
      <c r="Q68" s="43"/>
      <c r="R68" s="304">
        <f>IF(OR((AND(R69="y",S69="y")),(AND(R70="y",S70="y"))),"Too Much Food","")</f>
      </c>
      <c r="S68" s="304"/>
      <c r="T68" s="44"/>
      <c r="U68" s="17"/>
      <c r="V68" s="17"/>
      <c r="W68" s="17"/>
      <c r="X68" s="17"/>
      <c r="Y68" s="17"/>
    </row>
    <row r="69" spans="1:20" s="17" customFormat="1" ht="24.75" customHeight="1" thickBot="1">
      <c r="A69" s="132">
        <f>A66+1</f>
        <v>21</v>
      </c>
      <c r="B69" s="47">
        <v>1</v>
      </c>
      <c r="C69" s="48"/>
      <c r="D69" s="87"/>
      <c r="E69" s="133">
        <f>(IF(F69="y",$F$4,0))+(IF(G69="y",$G$4,0))+(IF(H69="y",$H$4,0))+(IF(I69="y",$I$4,0))+(IF((0&lt;J69)*(J69&lt;=16),J69*5,0))+(IF((0&lt;K69)*(K69&lt;=16),K69*2,0))+(IF(L69="y",$L$4,0))+(IF(M69="y",$M$4,0))+(IF((N69&gt;0)*(N69&lt;=3),N69*15,0))+(IF(O69="y",$O$4,0))+(IF(P69="y",$P$4,0))+(IF(Q69="y",$Q$4,0))+(IF(R69="y",$R$4,0))+(IF(S69="y",$S$4,0))+(IF((T69&gt;0)*(T69&lt;=3),T69*10,0))</f>
        <v>0</v>
      </c>
      <c r="F69" s="51"/>
      <c r="G69" s="51"/>
      <c r="H69" s="51"/>
      <c r="I69" s="51"/>
      <c r="J69" s="51"/>
      <c r="K69" s="51"/>
      <c r="L69" s="51"/>
      <c r="M69" s="51"/>
      <c r="N69" s="51"/>
      <c r="O69" s="51"/>
      <c r="P69" s="51"/>
      <c r="Q69" s="51"/>
      <c r="R69" s="51"/>
      <c r="S69" s="51"/>
      <c r="T69" s="51"/>
    </row>
    <row r="70" spans="1:20" s="17" customFormat="1" ht="24.75" customHeight="1" thickBot="1">
      <c r="A70" s="131"/>
      <c r="B70" s="52">
        <v>2</v>
      </c>
      <c r="C70" s="53"/>
      <c r="D70" s="87"/>
      <c r="E70" s="133">
        <f>(IF(F70="y",$F$4,0))+(IF(G70="y",$G$4,0))+(IF(H70="y",$H$4,0))+(IF(I70="y",$I$4,0))+(IF((0&lt;J70)*(J70&lt;=16),J70*5,0))+(IF((0&lt;K70)*(K70&lt;=16),K70*2,0))+(IF(L70="y",$L$4,0))+(IF(M70="y",$M$4,0))+(IF((N70&gt;0)*(N70&lt;=3),N70*15,0))+(IF(O70="y",$O$4,0))+(IF(P70="y",$P$4,0))+(IF(Q70="y",$Q$4,0))+(IF(R70="y",$R$4,0))+(IF(S70="y",$S$4,0))+(IF((T70&gt;0)*(T70&lt;=3),T70*10,0))</f>
        <v>0</v>
      </c>
      <c r="F70" s="51"/>
      <c r="G70" s="51"/>
      <c r="H70" s="51"/>
      <c r="I70" s="51"/>
      <c r="J70" s="51"/>
      <c r="K70" s="51"/>
      <c r="L70" s="51"/>
      <c r="M70" s="51"/>
      <c r="N70" s="51"/>
      <c r="O70" s="51"/>
      <c r="P70" s="51"/>
      <c r="Q70" s="51"/>
      <c r="R70" s="51"/>
      <c r="S70" s="51"/>
      <c r="T70" s="51"/>
    </row>
    <row r="71" spans="1:25" s="54" customFormat="1" ht="17.25" customHeight="1" thickBot="1">
      <c r="A71" s="37" t="s">
        <v>48</v>
      </c>
      <c r="B71" s="38" t="s">
        <v>49</v>
      </c>
      <c r="C71" s="39" t="s">
        <v>50</v>
      </c>
      <c r="D71" s="40" t="s">
        <v>51</v>
      </c>
      <c r="E71" s="134"/>
      <c r="F71" s="42"/>
      <c r="G71" s="304">
        <f>IF(OR((AND(G72="y",H72="y")),(AND(G73="y",H73="y"))),"Too Many CDs","")</f>
      </c>
      <c r="H71" s="304"/>
      <c r="I71" s="304">
        <f>IF(AND(I72="Y",I73="Y"),"Too Many Balls In Center",IF((IF(I72="Y",1,IF(I73="Y",1,0))+J73+K73+J72+K72)&gt;16,"Too Many Balls",""))</f>
      </c>
      <c r="J71" s="305"/>
      <c r="K71" s="305"/>
      <c r="L71" s="304">
        <f>IF(OR((AND(L72="y",M72="y")),(AND(L73="y",M73="y"))),"Not Both Stairs","")</f>
      </c>
      <c r="M71" s="304"/>
      <c r="N71" s="43"/>
      <c r="O71" s="304">
        <f>IF(OR((AND(O72="y",P72="y")),(AND(O73="y",P73="y"))),"Not Both Positions","")</f>
      </c>
      <c r="P71" s="304"/>
      <c r="Q71" s="43"/>
      <c r="R71" s="304">
        <f>IF(OR((AND(R72="y",S72="y")),(AND(R73="y",S73="y"))),"Too Much Food","")</f>
      </c>
      <c r="S71" s="304"/>
      <c r="T71" s="44"/>
      <c r="U71" s="17"/>
      <c r="V71" s="17"/>
      <c r="W71" s="17"/>
      <c r="X71" s="17"/>
      <c r="Y71" s="17"/>
    </row>
    <row r="72" spans="1:20" s="17" customFormat="1" ht="24.75" customHeight="1" thickBot="1">
      <c r="A72" s="132">
        <f>A69+1</f>
        <v>22</v>
      </c>
      <c r="B72" s="47">
        <v>1</v>
      </c>
      <c r="C72" s="48"/>
      <c r="D72" s="87"/>
      <c r="E72" s="133">
        <f>(IF(F72="y",$F$4,0))+(IF(G72="y",$G$4,0))+(IF(H72="y",$H$4,0))+(IF(I72="y",$I$4,0))+(IF((0&lt;J72)*(J72&lt;=16),J72*5,0))+(IF((0&lt;K72)*(K72&lt;=16),K72*2,0))+(IF(L72="y",$L$4,0))+(IF(M72="y",$M$4,0))+(IF((N72&gt;0)*(N72&lt;=3),N72*15,0))+(IF(O72="y",$O$4,0))+(IF(P72="y",$P$4,0))+(IF(Q72="y",$Q$4,0))+(IF(R72="y",$R$4,0))+(IF(S72="y",$S$4,0))+(IF((T72&gt;0)*(T72&lt;=3),T72*10,0))</f>
        <v>0</v>
      </c>
      <c r="F72" s="51"/>
      <c r="G72" s="51"/>
      <c r="H72" s="51"/>
      <c r="I72" s="51"/>
      <c r="J72" s="51"/>
      <c r="K72" s="51"/>
      <c r="L72" s="51"/>
      <c r="M72" s="51"/>
      <c r="N72" s="51"/>
      <c r="O72" s="51"/>
      <c r="P72" s="51"/>
      <c r="Q72" s="51"/>
      <c r="R72" s="51"/>
      <c r="S72" s="51"/>
      <c r="T72" s="51"/>
    </row>
    <row r="73" spans="1:20" s="17" customFormat="1" ht="24.75" customHeight="1" thickBot="1">
      <c r="A73" s="131"/>
      <c r="B73" s="52">
        <v>2</v>
      </c>
      <c r="C73" s="53"/>
      <c r="D73" s="87"/>
      <c r="E73" s="133">
        <f>(IF(F73="y",$F$4,0))+(IF(G73="y",$G$4,0))+(IF(H73="y",$H$4,0))+(IF(I73="y",$I$4,0))+(IF((0&lt;J73)*(J73&lt;=16),J73*5,0))+(IF((0&lt;K73)*(K73&lt;=16),K73*2,0))+(IF(L73="y",$L$4,0))+(IF(M73="y",$M$4,0))+(IF((N73&gt;0)*(N73&lt;=3),N73*15,0))+(IF(O73="y",$O$4,0))+(IF(P73="y",$P$4,0))+(IF(Q73="y",$Q$4,0))+(IF(R73="y",$R$4,0))+(IF(S73="y",$S$4,0))+(IF((T73&gt;0)*(T73&lt;=3),T73*10,0))</f>
        <v>0</v>
      </c>
      <c r="F73" s="51"/>
      <c r="G73" s="51"/>
      <c r="H73" s="51"/>
      <c r="I73" s="51"/>
      <c r="J73" s="51"/>
      <c r="K73" s="51"/>
      <c r="L73" s="51"/>
      <c r="M73" s="51"/>
      <c r="N73" s="51"/>
      <c r="O73" s="51"/>
      <c r="P73" s="51"/>
      <c r="Q73" s="51"/>
      <c r="R73" s="51"/>
      <c r="S73" s="51"/>
      <c r="T73" s="51"/>
    </row>
    <row r="74" spans="1:25" s="54" customFormat="1" ht="17.25" customHeight="1" thickBot="1">
      <c r="A74" s="37" t="s">
        <v>48</v>
      </c>
      <c r="B74" s="38" t="s">
        <v>49</v>
      </c>
      <c r="C74" s="39" t="s">
        <v>50</v>
      </c>
      <c r="D74" s="40" t="s">
        <v>51</v>
      </c>
      <c r="E74" s="134"/>
      <c r="F74" s="42"/>
      <c r="G74" s="304">
        <f>IF(OR((AND(G75="y",H75="y")),(AND(G76="y",H76="y"))),"Too Many CDs","")</f>
      </c>
      <c r="H74" s="304"/>
      <c r="I74" s="304">
        <f>IF(AND(I75="Y",I76="Y"),"Too Many Balls In Center",IF((IF(I75="Y",1,IF(I76="Y",1,0))+J76+K76+J75+K75)&gt;16,"Too Many Balls",""))</f>
      </c>
      <c r="J74" s="305"/>
      <c r="K74" s="305"/>
      <c r="L74" s="304">
        <f>IF(OR((AND(L75="y",M75="y")),(AND(L76="y",M76="y"))),"Not Both Stairs","")</f>
      </c>
      <c r="M74" s="304"/>
      <c r="N74" s="43"/>
      <c r="O74" s="304">
        <f>IF(OR((AND(O75="y",P75="y")),(AND(O76="y",P76="y"))),"Not Both Positions","")</f>
      </c>
      <c r="P74" s="304"/>
      <c r="Q74" s="43"/>
      <c r="R74" s="304">
        <f>IF(OR((AND(R75="y",S75="y")),(AND(R76="y",S76="y"))),"Too Much Food","")</f>
      </c>
      <c r="S74" s="304"/>
      <c r="T74" s="44"/>
      <c r="U74" s="17"/>
      <c r="V74" s="17"/>
      <c r="W74" s="17"/>
      <c r="X74" s="17"/>
      <c r="Y74" s="17"/>
    </row>
    <row r="75" spans="1:20" s="17" customFormat="1" ht="24.75" customHeight="1" thickBot="1">
      <c r="A75" s="132">
        <f>A72+1</f>
        <v>23</v>
      </c>
      <c r="B75" s="47">
        <v>1</v>
      </c>
      <c r="C75" s="48"/>
      <c r="D75" s="87"/>
      <c r="E75" s="133">
        <f>(IF(F75="y",$F$4,0))+(IF(G75="y",$G$4,0))+(IF(H75="y",$H$4,0))+(IF(I75="y",$I$4,0))+(IF((0&lt;J75)*(J75&lt;=16),J75*5,0))+(IF((0&lt;K75)*(K75&lt;=16),K75*2,0))+(IF(L75="y",$L$4,0))+(IF(M75="y",$M$4,0))+(IF((N75&gt;0)*(N75&lt;=3),N75*15,0))+(IF(O75="y",$O$4,0))+(IF(P75="y",$P$4,0))+(IF(Q75="y",$Q$4,0))+(IF(R75="y",$R$4,0))+(IF(S75="y",$S$4,0))+(IF((T75&gt;0)*(T75&lt;=3),T75*10,0))</f>
        <v>0</v>
      </c>
      <c r="F75" s="51"/>
      <c r="G75" s="51"/>
      <c r="H75" s="51"/>
      <c r="I75" s="51"/>
      <c r="J75" s="51"/>
      <c r="K75" s="51"/>
      <c r="L75" s="51"/>
      <c r="M75" s="51"/>
      <c r="N75" s="51"/>
      <c r="O75" s="51"/>
      <c r="P75" s="51"/>
      <c r="Q75" s="51"/>
      <c r="R75" s="51"/>
      <c r="S75" s="51"/>
      <c r="T75" s="51"/>
    </row>
    <row r="76" spans="1:20" s="17" customFormat="1" ht="24.75" customHeight="1" thickBot="1">
      <c r="A76" s="131"/>
      <c r="B76" s="52">
        <v>2</v>
      </c>
      <c r="C76" s="53"/>
      <c r="D76" s="87"/>
      <c r="E76" s="133">
        <f>(IF(F76="y",$F$4,0))+(IF(G76="y",$G$4,0))+(IF(H76="y",$H$4,0))+(IF(I76="y",$I$4,0))+(IF((0&lt;J76)*(J76&lt;=16),J76*5,0))+(IF((0&lt;K76)*(K76&lt;=16),K76*2,0))+(IF(L76="y",$L$4,0))+(IF(M76="y",$M$4,0))+(IF((N76&gt;0)*(N76&lt;=3),N76*15,0))+(IF(O76="y",$O$4,0))+(IF(P76="y",$P$4,0))+(IF(Q76="y",$Q$4,0))+(IF(R76="y",$R$4,0))+(IF(S76="y",$S$4,0))+(IF((T76&gt;0)*(T76&lt;=3),T76*10,0))</f>
        <v>0</v>
      </c>
      <c r="F76" s="51"/>
      <c r="G76" s="51"/>
      <c r="H76" s="51"/>
      <c r="I76" s="51"/>
      <c r="J76" s="51"/>
      <c r="K76" s="51"/>
      <c r="L76" s="51"/>
      <c r="M76" s="51"/>
      <c r="N76" s="51"/>
      <c r="O76" s="51"/>
      <c r="P76" s="51"/>
      <c r="Q76" s="51"/>
      <c r="R76" s="51"/>
      <c r="S76" s="51"/>
      <c r="T76" s="51"/>
    </row>
    <row r="77" spans="1:25" s="54" customFormat="1" ht="17.25" customHeight="1" thickBot="1">
      <c r="A77" s="37" t="s">
        <v>48</v>
      </c>
      <c r="B77" s="38" t="s">
        <v>49</v>
      </c>
      <c r="C77" s="39" t="s">
        <v>50</v>
      </c>
      <c r="D77" s="40" t="s">
        <v>51</v>
      </c>
      <c r="E77" s="134"/>
      <c r="F77" s="42"/>
      <c r="G77" s="304">
        <f>IF(OR((AND(G78="y",H78="y")),(AND(G79="y",H79="y"))),"Too Many CDs","")</f>
      </c>
      <c r="H77" s="304"/>
      <c r="I77" s="304">
        <f>IF(AND(I78="Y",I79="Y"),"Too Many Balls In Center",IF((IF(I78="Y",1,IF(I79="Y",1,0))+J79+K79+J78+K78)&gt;16,"Too Many Balls",""))</f>
      </c>
      <c r="J77" s="305"/>
      <c r="K77" s="305"/>
      <c r="L77" s="304">
        <f>IF(OR((AND(L78="y",M78="y")),(AND(L79="y",M79="y"))),"Not Both Stairs","")</f>
      </c>
      <c r="M77" s="304"/>
      <c r="N77" s="43"/>
      <c r="O77" s="304">
        <f>IF(OR((AND(O78="y",P78="y")),(AND(O79="y",P79="y"))),"Not Both Positions","")</f>
      </c>
      <c r="P77" s="304"/>
      <c r="Q77" s="43"/>
      <c r="R77" s="304">
        <f>IF(OR((AND(R78="y",S78="y")),(AND(R79="y",S79="y"))),"Too Much Food","")</f>
      </c>
      <c r="S77" s="304"/>
      <c r="T77" s="44"/>
      <c r="U77" s="17"/>
      <c r="V77" s="17"/>
      <c r="W77" s="17"/>
      <c r="X77" s="17"/>
      <c r="Y77" s="17"/>
    </row>
    <row r="78" spans="1:20" s="17" customFormat="1" ht="24.75" customHeight="1" thickBot="1">
      <c r="A78" s="132">
        <f>A75+1</f>
        <v>24</v>
      </c>
      <c r="B78" s="47">
        <v>1</v>
      </c>
      <c r="C78" s="48"/>
      <c r="D78" s="87"/>
      <c r="E78" s="133">
        <f>(IF(F78="y",$F$4,0))+(IF(G78="y",$G$4,0))+(IF(H78="y",$H$4,0))+(IF(I78="y",$I$4,0))+(IF((0&lt;J78)*(J78&lt;=16),J78*5,0))+(IF((0&lt;K78)*(K78&lt;=16),K78*2,0))+(IF(L78="y",$L$4,0))+(IF(M78="y",$M$4,0))+(IF((N78&gt;0)*(N78&lt;=3),N78*15,0))+(IF(O78="y",$O$4,0))+(IF(P78="y",$P$4,0))+(IF(Q78="y",$Q$4,0))+(IF(R78="y",$R$4,0))+(IF(S78="y",$S$4,0))+(IF((T78&gt;0)*(T78&lt;=3),T78*10,0))</f>
        <v>0</v>
      </c>
      <c r="F78" s="51"/>
      <c r="G78" s="51"/>
      <c r="H78" s="51"/>
      <c r="I78" s="51"/>
      <c r="J78" s="51"/>
      <c r="K78" s="51"/>
      <c r="L78" s="51"/>
      <c r="M78" s="51"/>
      <c r="N78" s="51"/>
      <c r="O78" s="51"/>
      <c r="P78" s="51"/>
      <c r="Q78" s="51"/>
      <c r="R78" s="51"/>
      <c r="S78" s="51"/>
      <c r="T78" s="51"/>
    </row>
    <row r="79" spans="1:20" s="17" customFormat="1" ht="24.75" customHeight="1" thickBot="1">
      <c r="A79" s="131"/>
      <c r="B79" s="52">
        <v>2</v>
      </c>
      <c r="C79" s="53"/>
      <c r="D79" s="87"/>
      <c r="E79" s="133">
        <f>(IF(F79="y",$F$4,0))+(IF(G79="y",$G$4,0))+(IF(H79="y",$H$4,0))+(IF(I79="y",$I$4,0))+(IF((0&lt;J79)*(J79&lt;=16),J79*5,0))+(IF((0&lt;K79)*(K79&lt;=16),K79*2,0))+(IF(L79="y",$L$4,0))+(IF(M79="y",$M$4,0))+(IF((N79&gt;0)*(N79&lt;=3),N79*15,0))+(IF(O79="y",$O$4,0))+(IF(P79="y",$P$4,0))+(IF(Q79="y",$Q$4,0))+(IF(R79="y",$R$4,0))+(IF(S79="y",$S$4,0))+(IF((T79&gt;0)*(T79&lt;=3),T79*10,0))</f>
        <v>0</v>
      </c>
      <c r="F79" s="51"/>
      <c r="G79" s="51"/>
      <c r="H79" s="51"/>
      <c r="I79" s="51"/>
      <c r="J79" s="51"/>
      <c r="K79" s="51"/>
      <c r="L79" s="51"/>
      <c r="M79" s="51"/>
      <c r="N79" s="51"/>
      <c r="O79" s="51"/>
      <c r="P79" s="51"/>
      <c r="Q79" s="51"/>
      <c r="R79" s="51"/>
      <c r="S79" s="51"/>
      <c r="T79" s="51"/>
    </row>
    <row r="80" spans="1:25" s="54" customFormat="1" ht="17.25" customHeight="1" thickBot="1">
      <c r="A80" s="37" t="s">
        <v>48</v>
      </c>
      <c r="B80" s="38" t="s">
        <v>49</v>
      </c>
      <c r="C80" s="39" t="s">
        <v>50</v>
      </c>
      <c r="D80" s="40" t="s">
        <v>51</v>
      </c>
      <c r="E80" s="134"/>
      <c r="F80" s="42"/>
      <c r="G80" s="304">
        <f>IF(OR((AND(G81="y",H81="y")),(AND(G82="y",H82="y"))),"Too Many CDs","")</f>
      </c>
      <c r="H80" s="304"/>
      <c r="I80" s="304">
        <f>IF(AND(I81="Y",I82="Y"),"Too Many Balls In Center",IF((IF(I81="Y",1,IF(I82="Y",1,0))+J82+K82+J81+K81)&gt;16,"Too Many Balls",""))</f>
      </c>
      <c r="J80" s="305"/>
      <c r="K80" s="305"/>
      <c r="L80" s="304">
        <f>IF(OR((AND(L81="y",M81="y")),(AND(L82="y",M82="y"))),"Not Both Stairs","")</f>
      </c>
      <c r="M80" s="304"/>
      <c r="N80" s="43"/>
      <c r="O80" s="304">
        <f>IF(OR((AND(O81="y",P81="y")),(AND(O82="y",P82="y"))),"Not Both Positions","")</f>
      </c>
      <c r="P80" s="304"/>
      <c r="Q80" s="43"/>
      <c r="R80" s="304">
        <f>IF(OR((AND(R81="y",S81="y")),(AND(R82="y",S82="y"))),"Too Much Food","")</f>
      </c>
      <c r="S80" s="304"/>
      <c r="T80" s="44"/>
      <c r="U80" s="17"/>
      <c r="V80" s="17"/>
      <c r="W80" s="17"/>
      <c r="X80" s="17"/>
      <c r="Y80" s="17"/>
    </row>
    <row r="81" spans="1:20" s="17" customFormat="1" ht="24.75" customHeight="1" thickBot="1">
      <c r="A81" s="132">
        <f>A78+1</f>
        <v>25</v>
      </c>
      <c r="B81" s="47">
        <v>1</v>
      </c>
      <c r="C81" s="48"/>
      <c r="D81" s="87"/>
      <c r="E81" s="133">
        <f>(IF(F81="y",$F$4,0))+(IF(G81="y",$G$4,0))+(IF(H81="y",$H$4,0))+(IF(I81="y",$I$4,0))+(IF((0&lt;J81)*(J81&lt;=16),J81*5,0))+(IF((0&lt;K81)*(K81&lt;=16),K81*2,0))+(IF(L81="y",$L$4,0))+(IF(M81="y",$M$4,0))+(IF((N81&gt;0)*(N81&lt;=3),N81*15,0))+(IF(O81="y",$O$4,0))+(IF(P81="y",$P$4,0))+(IF(Q81="y",$Q$4,0))+(IF(R81="y",$R$4,0))+(IF(S81="y",$S$4,0))+(IF((T81&gt;0)*(T81&lt;=3),T81*10,0))</f>
        <v>0</v>
      </c>
      <c r="F81" s="51"/>
      <c r="G81" s="51"/>
      <c r="H81" s="51"/>
      <c r="I81" s="51"/>
      <c r="J81" s="51"/>
      <c r="K81" s="51"/>
      <c r="L81" s="51"/>
      <c r="M81" s="51"/>
      <c r="N81" s="51"/>
      <c r="O81" s="51"/>
      <c r="P81" s="51"/>
      <c r="Q81" s="51"/>
      <c r="R81" s="51"/>
      <c r="S81" s="51"/>
      <c r="T81" s="51"/>
    </row>
    <row r="82" spans="1:20" s="17" customFormat="1" ht="24.75" customHeight="1" thickBot="1">
      <c r="A82" s="131"/>
      <c r="B82" s="52">
        <v>2</v>
      </c>
      <c r="C82" s="53"/>
      <c r="D82" s="87"/>
      <c r="E82" s="133">
        <f>(IF(F82="y",$F$4,0))+(IF(G82="y",$G$4,0))+(IF(H82="y",$H$4,0))+(IF(I82="y",$I$4,0))+(IF((0&lt;J82)*(J82&lt;=16),J82*5,0))+(IF((0&lt;K82)*(K82&lt;=16),K82*2,0))+(IF(L82="y",$L$4,0))+(IF(M82="y",$M$4,0))+(IF((N82&gt;0)*(N82&lt;=3),N82*15,0))+(IF(O82="y",$O$4,0))+(IF(P82="y",$P$4,0))+(IF(Q82="y",$Q$4,0))+(IF(R82="y",$R$4,0))+(IF(S82="y",$S$4,0))+(IF((T82&gt;0)*(T82&lt;=3),T82*10,0))</f>
        <v>0</v>
      </c>
      <c r="F82" s="51"/>
      <c r="G82" s="51"/>
      <c r="H82" s="51"/>
      <c r="I82" s="51"/>
      <c r="J82" s="51"/>
      <c r="K82" s="51"/>
      <c r="L82" s="51"/>
      <c r="M82" s="51"/>
      <c r="N82" s="51"/>
      <c r="O82" s="51"/>
      <c r="P82" s="51"/>
      <c r="Q82" s="51"/>
      <c r="R82" s="51"/>
      <c r="S82" s="51"/>
      <c r="T82" s="51"/>
    </row>
    <row r="83" spans="1:25" s="54" customFormat="1" ht="17.25" customHeight="1" thickBot="1">
      <c r="A83" s="37" t="s">
        <v>48</v>
      </c>
      <c r="B83" s="38" t="s">
        <v>49</v>
      </c>
      <c r="C83" s="39" t="s">
        <v>50</v>
      </c>
      <c r="D83" s="40" t="s">
        <v>51</v>
      </c>
      <c r="E83" s="134"/>
      <c r="F83" s="42"/>
      <c r="G83" s="304">
        <f>IF(OR((AND(G84="y",H84="y")),(AND(G85="y",H85="y"))),"Too Many CDs","")</f>
      </c>
      <c r="H83" s="304"/>
      <c r="I83" s="304">
        <f>IF(AND(I84="Y",I85="Y"),"Too Many Balls In Center",IF((IF(I84="Y",1,IF(I85="Y",1,0))+J85+K85+J84+K84)&gt;16,"Too Many Balls",""))</f>
      </c>
      <c r="J83" s="305"/>
      <c r="K83" s="305"/>
      <c r="L83" s="304">
        <f>IF(OR((AND(L84="y",M84="y")),(AND(L85="y",M85="y"))),"Not Both Stairs","")</f>
      </c>
      <c r="M83" s="304"/>
      <c r="N83" s="43"/>
      <c r="O83" s="304">
        <f>IF(OR((AND(O84="y",P84="y")),(AND(O85="y",P85="y"))),"Not Both Positions","")</f>
      </c>
      <c r="P83" s="304"/>
      <c r="Q83" s="43"/>
      <c r="R83" s="304">
        <f>IF(OR((AND(R84="y",S84="y")),(AND(R85="y",S85="y"))),"Too Much Food","")</f>
      </c>
      <c r="S83" s="304"/>
      <c r="T83" s="44"/>
      <c r="U83" s="17"/>
      <c r="V83" s="17"/>
      <c r="W83" s="17"/>
      <c r="X83" s="17"/>
      <c r="Y83" s="17"/>
    </row>
    <row r="84" spans="1:20" s="17" customFormat="1" ht="24.75" customHeight="1" thickBot="1">
      <c r="A84" s="132">
        <f>A81+1</f>
        <v>26</v>
      </c>
      <c r="B84" s="47">
        <v>1</v>
      </c>
      <c r="C84" s="48"/>
      <c r="D84" s="87"/>
      <c r="E84" s="133">
        <f>(IF(F84="y",$F$4,0))+(IF(G84="y",$G$4,0))+(IF(H84="y",$H$4,0))+(IF(I84="y",$I$4,0))+(IF((0&lt;J84)*(J84&lt;=16),J84*5,0))+(IF((0&lt;K84)*(K84&lt;=16),K84*2,0))+(IF(L84="y",$L$4,0))+(IF(M84="y",$M$4,0))+(IF((N84&gt;0)*(N84&lt;=3),N84*15,0))+(IF(O84="y",$O$4,0))+(IF(P84="y",$P$4,0))+(IF(Q84="y",$Q$4,0))+(IF(R84="y",$R$4,0))+(IF(S84="y",$S$4,0))+(IF((T84&gt;0)*(T84&lt;=3),T84*10,0))</f>
        <v>0</v>
      </c>
      <c r="F84" s="51"/>
      <c r="G84" s="51"/>
      <c r="H84" s="51"/>
      <c r="I84" s="51"/>
      <c r="J84" s="51"/>
      <c r="K84" s="51"/>
      <c r="L84" s="51"/>
      <c r="M84" s="51"/>
      <c r="N84" s="51"/>
      <c r="O84" s="51"/>
      <c r="P84" s="51"/>
      <c r="Q84" s="51"/>
      <c r="R84" s="51"/>
      <c r="S84" s="51"/>
      <c r="T84" s="51"/>
    </row>
    <row r="85" spans="1:20" s="17" customFormat="1" ht="24.75" customHeight="1" thickBot="1">
      <c r="A85" s="131"/>
      <c r="B85" s="52">
        <v>2</v>
      </c>
      <c r="C85" s="53"/>
      <c r="D85" s="87"/>
      <c r="E85" s="133">
        <f>(IF(F85="y",$F$4,0))+(IF(G85="y",$G$4,0))+(IF(H85="y",$H$4,0))+(IF(I85="y",$I$4,0))+(IF((0&lt;J85)*(J85&lt;=16),J85*5,0))+(IF((0&lt;K85)*(K85&lt;=16),K85*2,0))+(IF(L85="y",$L$4,0))+(IF(M85="y",$M$4,0))+(IF((N85&gt;0)*(N85&lt;=3),N85*15,0))+(IF(O85="y",$O$4,0))+(IF(P85="y",$P$4,0))+(IF(Q85="y",$Q$4,0))+(IF(R85="y",$R$4,0))+(IF(S85="y",$S$4,0))+(IF((T85&gt;0)*(T85&lt;=3),T85*10,0))</f>
        <v>0</v>
      </c>
      <c r="F85" s="51"/>
      <c r="G85" s="51"/>
      <c r="H85" s="51"/>
      <c r="I85" s="51"/>
      <c r="J85" s="51"/>
      <c r="K85" s="51"/>
      <c r="L85" s="51"/>
      <c r="M85" s="51"/>
      <c r="N85" s="51"/>
      <c r="O85" s="51"/>
      <c r="P85" s="51"/>
      <c r="Q85" s="51"/>
      <c r="R85" s="51"/>
      <c r="S85" s="51"/>
      <c r="T85" s="51"/>
    </row>
    <row r="86" spans="1:25" s="54" customFormat="1" ht="17.25" customHeight="1" thickBot="1">
      <c r="A86" s="37" t="s">
        <v>48</v>
      </c>
      <c r="B86" s="38" t="s">
        <v>49</v>
      </c>
      <c r="C86" s="39" t="s">
        <v>50</v>
      </c>
      <c r="D86" s="40" t="s">
        <v>51</v>
      </c>
      <c r="E86" s="134"/>
      <c r="F86" s="42"/>
      <c r="G86" s="304">
        <f>IF(OR((AND(G87="y",H87="y")),(AND(G88="y",H88="y"))),"Too Many CDs","")</f>
      </c>
      <c r="H86" s="304"/>
      <c r="I86" s="304">
        <f>IF(AND(I87="Y",I88="Y"),"Too Many Balls In Center",IF((IF(I87="Y",1,IF(I88="Y",1,0))+J88+K88+J87+K87)&gt;16,"Too Many Balls",""))</f>
      </c>
      <c r="J86" s="305"/>
      <c r="K86" s="305"/>
      <c r="L86" s="304">
        <f>IF(OR((AND(L87="y",M87="y")),(AND(L88="y",M88="y"))),"Not Both Stairs","")</f>
      </c>
      <c r="M86" s="304"/>
      <c r="N86" s="43"/>
      <c r="O86" s="304">
        <f>IF(OR((AND(O87="y",P87="y")),(AND(O88="y",P88="y"))),"Not Both Positions","")</f>
      </c>
      <c r="P86" s="304"/>
      <c r="Q86" s="43"/>
      <c r="R86" s="304">
        <f>IF(OR((AND(R87="y",S87="y")),(AND(R88="y",S88="y"))),"Too Much Food","")</f>
      </c>
      <c r="S86" s="304"/>
      <c r="T86" s="44"/>
      <c r="U86" s="17"/>
      <c r="V86" s="17"/>
      <c r="W86" s="17"/>
      <c r="X86" s="17"/>
      <c r="Y86" s="17"/>
    </row>
    <row r="87" spans="1:20" s="17" customFormat="1" ht="24.75" customHeight="1" thickBot="1">
      <c r="A87" s="132">
        <f>A84+1</f>
        <v>27</v>
      </c>
      <c r="B87" s="47">
        <v>1</v>
      </c>
      <c r="C87" s="48"/>
      <c r="D87" s="87"/>
      <c r="E87" s="133">
        <f>(IF(F87="y",$F$4,0))+(IF(G87="y",$G$4,0))+(IF(H87="y",$H$4,0))+(IF(I87="y",$I$4,0))+(IF((0&lt;J87)*(J87&lt;=16),J87*5,0))+(IF((0&lt;K87)*(K87&lt;=16),K87*2,0))+(IF(L87="y",$L$4,0))+(IF(M87="y",$M$4,0))+(IF((N87&gt;0)*(N87&lt;=3),N87*15,0))+(IF(O87="y",$O$4,0))+(IF(P87="y",$P$4,0))+(IF(Q87="y",$Q$4,0))+(IF(R87="y",$R$4,0))+(IF(S87="y",$S$4,0))+(IF((T87&gt;0)*(T87&lt;=3),T87*10,0))</f>
        <v>0</v>
      </c>
      <c r="F87" s="51"/>
      <c r="G87" s="51"/>
      <c r="H87" s="51"/>
      <c r="I87" s="51"/>
      <c r="J87" s="51"/>
      <c r="K87" s="51"/>
      <c r="L87" s="51"/>
      <c r="M87" s="51"/>
      <c r="N87" s="51"/>
      <c r="O87" s="51"/>
      <c r="P87" s="51"/>
      <c r="Q87" s="51"/>
      <c r="R87" s="51"/>
      <c r="S87" s="51"/>
      <c r="T87" s="51"/>
    </row>
    <row r="88" spans="1:20" s="17" customFormat="1" ht="24.75" customHeight="1" thickBot="1">
      <c r="A88" s="131"/>
      <c r="B88" s="52">
        <v>2</v>
      </c>
      <c r="C88" s="53"/>
      <c r="D88" s="87"/>
      <c r="E88" s="133">
        <f>(IF(F88="y",$F$4,0))+(IF(G88="y",$G$4,0))+(IF(H88="y",$H$4,0))+(IF(I88="y",$I$4,0))+(IF((0&lt;J88)*(J88&lt;=16),J88*5,0))+(IF((0&lt;K88)*(K88&lt;=16),K88*2,0))+(IF(L88="y",$L$4,0))+(IF(M88="y",$M$4,0))+(IF((N88&gt;0)*(N88&lt;=3),N88*15,0))+(IF(O88="y",$O$4,0))+(IF(P88="y",$P$4,0))+(IF(Q88="y",$Q$4,0))+(IF(R88="y",$R$4,0))+(IF(S88="y",$S$4,0))+(IF((T88&gt;0)*(T88&lt;=3),T88*10,0))</f>
        <v>0</v>
      </c>
      <c r="F88" s="51"/>
      <c r="G88" s="51"/>
      <c r="H88" s="51"/>
      <c r="I88" s="51"/>
      <c r="J88" s="51"/>
      <c r="K88" s="51"/>
      <c r="L88" s="51"/>
      <c r="M88" s="51"/>
      <c r="N88" s="51"/>
      <c r="O88" s="51"/>
      <c r="P88" s="51"/>
      <c r="Q88" s="51"/>
      <c r="R88" s="51"/>
      <c r="S88" s="51"/>
      <c r="T88" s="51"/>
    </row>
    <row r="89" spans="1:25" s="54" customFormat="1" ht="17.25" customHeight="1" thickBot="1">
      <c r="A89" s="37" t="s">
        <v>48</v>
      </c>
      <c r="B89" s="38" t="s">
        <v>49</v>
      </c>
      <c r="C89" s="39" t="s">
        <v>50</v>
      </c>
      <c r="D89" s="40" t="s">
        <v>51</v>
      </c>
      <c r="E89" s="134"/>
      <c r="F89" s="42"/>
      <c r="G89" s="304">
        <f>IF(OR((AND(G90="y",H90="y")),(AND(G91="y",H91="y"))),"Too Many CDs","")</f>
      </c>
      <c r="H89" s="304"/>
      <c r="I89" s="304">
        <f>IF(AND(I90="Y",I91="Y"),"Too Many Balls In Center",IF((IF(I90="Y",1,IF(I91="Y",1,0))+J91+K91+J90+K90)&gt;16,"Too Many Balls",""))</f>
      </c>
      <c r="J89" s="305"/>
      <c r="K89" s="305"/>
      <c r="L89" s="304">
        <f>IF(OR((AND(L90="y",M90="y")),(AND(L91="y",M91="y"))),"Not Both Stairs","")</f>
      </c>
      <c r="M89" s="304"/>
      <c r="N89" s="43"/>
      <c r="O89" s="304">
        <f>IF(OR((AND(O90="y",P90="y")),(AND(O91="y",P91="y"))),"Not Both Positions","")</f>
      </c>
      <c r="P89" s="304"/>
      <c r="Q89" s="43"/>
      <c r="R89" s="304">
        <f>IF(OR((AND(R90="y",S90="y")),(AND(R91="y",S91="y"))),"Too Much Food","")</f>
      </c>
      <c r="S89" s="304"/>
      <c r="T89" s="44"/>
      <c r="U89" s="17"/>
      <c r="V89" s="17"/>
      <c r="W89" s="17"/>
      <c r="X89" s="17"/>
      <c r="Y89" s="17"/>
    </row>
    <row r="90" spans="1:20" s="17" customFormat="1" ht="24.75" customHeight="1" thickBot="1">
      <c r="A90" s="132">
        <f>A87+1</f>
        <v>28</v>
      </c>
      <c r="B90" s="47">
        <v>1</v>
      </c>
      <c r="C90" s="48"/>
      <c r="D90" s="87"/>
      <c r="E90" s="133">
        <f>(IF(F90="y",$F$4,0))+(IF(G90="y",$G$4,0))+(IF(H90="y",$H$4,0))+(IF(I90="y",$I$4,0))+(IF((0&lt;J90)*(J90&lt;=16),J90*5,0))+(IF((0&lt;K90)*(K90&lt;=16),K90*2,0))+(IF(L90="y",$L$4,0))+(IF(M90="y",$M$4,0))+(IF((N90&gt;0)*(N90&lt;=3),N90*15,0))+(IF(O90="y",$O$4,0))+(IF(P90="y",$P$4,0))+(IF(Q90="y",$Q$4,0))+(IF(R90="y",$R$4,0))+(IF(S90="y",$S$4,0))+(IF((T90&gt;0)*(T90&lt;=3),T90*10,0))</f>
        <v>0</v>
      </c>
      <c r="F90" s="51"/>
      <c r="G90" s="51"/>
      <c r="H90" s="51"/>
      <c r="I90" s="51"/>
      <c r="J90" s="51"/>
      <c r="K90" s="51"/>
      <c r="L90" s="51"/>
      <c r="M90" s="51"/>
      <c r="N90" s="51"/>
      <c r="O90" s="51"/>
      <c r="P90" s="51"/>
      <c r="Q90" s="51"/>
      <c r="R90" s="51"/>
      <c r="S90" s="51"/>
      <c r="T90" s="51"/>
    </row>
    <row r="91" spans="1:20" s="17" customFormat="1" ht="24.75" customHeight="1" thickBot="1">
      <c r="A91" s="131"/>
      <c r="B91" s="52">
        <v>2</v>
      </c>
      <c r="C91" s="53"/>
      <c r="D91" s="87"/>
      <c r="E91" s="133">
        <f>(IF(F91="y",$F$4,0))+(IF(G91="y",$G$4,0))+(IF(H91="y",$H$4,0))+(IF(I91="y",$I$4,0))+(IF((0&lt;J91)*(J91&lt;=16),J91*5,0))+(IF((0&lt;K91)*(K91&lt;=16),K91*2,0))+(IF(L91="y",$L$4,0))+(IF(M91="y",$M$4,0))+(IF((N91&gt;0)*(N91&lt;=3),N91*15,0))+(IF(O91="y",$O$4,0))+(IF(P91="y",$P$4,0))+(IF(Q91="y",$Q$4,0))+(IF(R91="y",$R$4,0))+(IF(S91="y",$S$4,0))+(IF((T91&gt;0)*(T91&lt;=3),T91*10,0))</f>
        <v>0</v>
      </c>
      <c r="F91" s="51"/>
      <c r="G91" s="51"/>
      <c r="H91" s="51"/>
      <c r="I91" s="51"/>
      <c r="J91" s="51"/>
      <c r="K91" s="51"/>
      <c r="L91" s="51"/>
      <c r="M91" s="51"/>
      <c r="N91" s="51"/>
      <c r="O91" s="51"/>
      <c r="P91" s="51"/>
      <c r="Q91" s="51"/>
      <c r="R91" s="51"/>
      <c r="S91" s="51"/>
      <c r="T91" s="51"/>
    </row>
    <row r="92" spans="1:25" s="54" customFormat="1" ht="17.25" customHeight="1" thickBot="1">
      <c r="A92" s="37" t="s">
        <v>48</v>
      </c>
      <c r="B92" s="38" t="s">
        <v>49</v>
      </c>
      <c r="C92" s="39" t="s">
        <v>50</v>
      </c>
      <c r="D92" s="40" t="s">
        <v>51</v>
      </c>
      <c r="E92" s="134"/>
      <c r="F92" s="42"/>
      <c r="G92" s="304">
        <f>IF(OR((AND(G93="y",H93="y")),(AND(G94="y",H94="y"))),"Too Many CDs","")</f>
      </c>
      <c r="H92" s="304"/>
      <c r="I92" s="304">
        <f>IF(AND(I93="Y",I94="Y"),"Too Many Balls In Center",IF((IF(I93="Y",1,IF(I94="Y",1,0))+J94+K94+J93+K93)&gt;16,"Too Many Balls",""))</f>
      </c>
      <c r="J92" s="305"/>
      <c r="K92" s="305"/>
      <c r="L92" s="304">
        <f>IF(OR((AND(L93="y",M93="y")),(AND(L94="y",M94="y"))),"Not Both Stairs","")</f>
      </c>
      <c r="M92" s="304"/>
      <c r="N92" s="43"/>
      <c r="O92" s="304">
        <f>IF(OR((AND(O93="y",P93="y")),(AND(O94="y",P94="y"))),"Not Both Positions","")</f>
      </c>
      <c r="P92" s="304"/>
      <c r="Q92" s="43"/>
      <c r="R92" s="304">
        <f>IF(OR((AND(R93="y",S93="y")),(AND(R94="y",S94="y"))),"Too Much Food","")</f>
      </c>
      <c r="S92" s="304"/>
      <c r="T92" s="44"/>
      <c r="U92" s="17"/>
      <c r="V92" s="17"/>
      <c r="W92" s="17"/>
      <c r="X92" s="17"/>
      <c r="Y92" s="17"/>
    </row>
    <row r="93" spans="1:20" s="17" customFormat="1" ht="24.75" customHeight="1" thickBot="1">
      <c r="A93" s="132">
        <f>A90+1</f>
        <v>29</v>
      </c>
      <c r="B93" s="47">
        <v>1</v>
      </c>
      <c r="C93" s="48"/>
      <c r="D93" s="87"/>
      <c r="E93" s="133">
        <f>(IF(F93="y",$F$4,0))+(IF(G93="y",$G$4,0))+(IF(H93="y",$H$4,0))+(IF(I93="y",$I$4,0))+(IF((0&lt;J93)*(J93&lt;=16),J93*5,0))+(IF((0&lt;K93)*(K93&lt;=16),K93*2,0))+(IF(L93="y",$L$4,0))+(IF(M93="y",$M$4,0))+(IF((N93&gt;0)*(N93&lt;=3),N93*15,0))+(IF(O93="y",$O$4,0))+(IF(P93="y",$P$4,0))+(IF(Q93="y",$Q$4,0))+(IF(R93="y",$R$4,0))+(IF(S93="y",$S$4,0))+(IF((T93&gt;0)*(T93&lt;=3),T93*10,0))</f>
        <v>0</v>
      </c>
      <c r="F93" s="51"/>
      <c r="G93" s="51"/>
      <c r="H93" s="51"/>
      <c r="I93" s="51"/>
      <c r="J93" s="51"/>
      <c r="K93" s="51"/>
      <c r="L93" s="51"/>
      <c r="M93" s="51"/>
      <c r="N93" s="51"/>
      <c r="O93" s="51"/>
      <c r="P93" s="51"/>
      <c r="Q93" s="51"/>
      <c r="R93" s="51"/>
      <c r="S93" s="51"/>
      <c r="T93" s="51"/>
    </row>
    <row r="94" spans="1:20" s="17" customFormat="1" ht="24.75" customHeight="1" thickBot="1">
      <c r="A94" s="131"/>
      <c r="B94" s="52">
        <v>2</v>
      </c>
      <c r="C94" s="53"/>
      <c r="D94" s="87"/>
      <c r="E94" s="133">
        <f>(IF(F94="y",$F$4,0))+(IF(G94="y",$G$4,0))+(IF(H94="y",$H$4,0))+(IF(I94="y",$I$4,0))+(IF((0&lt;J94)*(J94&lt;=16),J94*5,0))+(IF((0&lt;K94)*(K94&lt;=16),K94*2,0))+(IF(L94="y",$L$4,0))+(IF(M94="y",$M$4,0))+(IF((N94&gt;0)*(N94&lt;=3),N94*15,0))+(IF(O94="y",$O$4,0))+(IF(P94="y",$P$4,0))+(IF(Q94="y",$Q$4,0))+(IF(R94="y",$R$4,0))+(IF(S94="y",$S$4,0))+(IF((T94&gt;0)*(T94&lt;=3),T94*10,0))</f>
        <v>0</v>
      </c>
      <c r="F94" s="51"/>
      <c r="G94" s="51"/>
      <c r="H94" s="51"/>
      <c r="I94" s="51"/>
      <c r="J94" s="51"/>
      <c r="K94" s="51"/>
      <c r="L94" s="51"/>
      <c r="M94" s="51"/>
      <c r="N94" s="51"/>
      <c r="O94" s="51"/>
      <c r="P94" s="51"/>
      <c r="Q94" s="51"/>
      <c r="R94" s="51"/>
      <c r="S94" s="51"/>
      <c r="T94" s="51"/>
    </row>
    <row r="95" spans="1:25" s="54" customFormat="1" ht="17.25" customHeight="1" thickBot="1">
      <c r="A95" s="37" t="s">
        <v>48</v>
      </c>
      <c r="B95" s="38" t="s">
        <v>49</v>
      </c>
      <c r="C95" s="39" t="s">
        <v>50</v>
      </c>
      <c r="D95" s="40" t="s">
        <v>51</v>
      </c>
      <c r="E95" s="134"/>
      <c r="F95" s="42"/>
      <c r="G95" s="304">
        <f>IF(OR((AND(G96="y",H96="y")),(AND(G97="y",H97="y"))),"Too Many CDs","")</f>
      </c>
      <c r="H95" s="304"/>
      <c r="I95" s="304">
        <f>IF(AND(I96="Y",I97="Y"),"Too Many Balls In Center",IF((IF(I96="Y",1,IF(I97="Y",1,0))+J97+K97+J96+K96)&gt;16,"Too Many Balls",""))</f>
      </c>
      <c r="J95" s="305"/>
      <c r="K95" s="305"/>
      <c r="L95" s="304">
        <f>IF(OR((AND(L96="y",M96="y")),(AND(L97="y",M97="y"))),"Not Both Stairs","")</f>
      </c>
      <c r="M95" s="304"/>
      <c r="N95" s="43"/>
      <c r="O95" s="304">
        <f>IF(OR((AND(O96="y",P96="y")),(AND(O97="y",P97="y"))),"Not Both Positions","")</f>
      </c>
      <c r="P95" s="304"/>
      <c r="Q95" s="43"/>
      <c r="R95" s="304">
        <f>IF(OR((AND(R96="y",S96="y")),(AND(R97="y",S97="y"))),"Too Much Food","")</f>
      </c>
      <c r="S95" s="304"/>
      <c r="T95" s="44"/>
      <c r="U95" s="17"/>
      <c r="V95" s="17"/>
      <c r="W95" s="17"/>
      <c r="X95" s="17"/>
      <c r="Y95" s="17"/>
    </row>
    <row r="96" spans="1:20" s="17" customFormat="1" ht="24.75" customHeight="1" thickBot="1">
      <c r="A96" s="132">
        <f>A93+1</f>
        <v>30</v>
      </c>
      <c r="B96" s="47">
        <v>1</v>
      </c>
      <c r="C96" s="48"/>
      <c r="D96" s="87"/>
      <c r="E96" s="133">
        <f>(IF(F96="y",$F$4,0))+(IF(G96="y",$G$4,0))+(IF(H96="y",$H$4,0))+(IF(I96="y",$I$4,0))+(IF((0&lt;J96)*(J96&lt;=16),J96*5,0))+(IF((0&lt;K96)*(K96&lt;=16),K96*2,0))+(IF(L96="y",$L$4,0))+(IF(M96="y",$M$4,0))+(IF((N96&gt;0)*(N96&lt;=3),N96*15,0))+(IF(O96="y",$O$4,0))+(IF(P96="y",$P$4,0))+(IF(Q96="y",$Q$4,0))+(IF(R96="y",$R$4,0))+(IF(S96="y",$S$4,0))+(IF((T96&gt;0)*(T96&lt;=3),T96*10,0))</f>
        <v>0</v>
      </c>
      <c r="F96" s="51"/>
      <c r="G96" s="51"/>
      <c r="H96" s="51"/>
      <c r="I96" s="51"/>
      <c r="J96" s="51"/>
      <c r="K96" s="51"/>
      <c r="L96" s="51"/>
      <c r="M96" s="51"/>
      <c r="N96" s="51"/>
      <c r="O96" s="51"/>
      <c r="P96" s="51"/>
      <c r="Q96" s="51"/>
      <c r="R96" s="51"/>
      <c r="S96" s="51"/>
      <c r="T96" s="51"/>
    </row>
    <row r="97" spans="1:20" s="17" customFormat="1" ht="24.75" customHeight="1" thickBot="1">
      <c r="A97" s="131"/>
      <c r="B97" s="52">
        <v>2</v>
      </c>
      <c r="C97" s="53"/>
      <c r="D97" s="87"/>
      <c r="E97" s="133">
        <f>(IF(F97="y",$F$4,0))+(IF(G97="y",$G$4,0))+(IF(H97="y",$H$4,0))+(IF(I97="y",$I$4,0))+(IF((0&lt;J97)*(J97&lt;=16),J97*5,0))+(IF((0&lt;K97)*(K97&lt;=16),K97*2,0))+(IF(L97="y",$L$4,0))+(IF(M97="y",$M$4,0))+(IF((N97&gt;0)*(N97&lt;=3),N97*15,0))+(IF(O97="y",$O$4,0))+(IF(P97="y",$P$4,0))+(IF(Q97="y",$Q$4,0))+(IF(R97="y",$R$4,0))+(IF(S97="y",$S$4,0))+(IF((T97&gt;0)*(T97&lt;=3),T97*10,0))</f>
        <v>0</v>
      </c>
      <c r="F97" s="51"/>
      <c r="G97" s="51"/>
      <c r="H97" s="51"/>
      <c r="I97" s="51"/>
      <c r="J97" s="51"/>
      <c r="K97" s="51"/>
      <c r="L97" s="51"/>
      <c r="M97" s="51"/>
      <c r="N97" s="51"/>
      <c r="O97" s="51"/>
      <c r="P97" s="51"/>
      <c r="Q97" s="51"/>
      <c r="R97" s="51"/>
      <c r="S97" s="51"/>
      <c r="T97" s="51"/>
    </row>
    <row r="98" spans="1:25" s="54" customFormat="1" ht="17.25" customHeight="1" thickBot="1">
      <c r="A98" s="37" t="s">
        <v>48</v>
      </c>
      <c r="B98" s="38" t="s">
        <v>49</v>
      </c>
      <c r="C98" s="39" t="s">
        <v>50</v>
      </c>
      <c r="D98" s="40" t="s">
        <v>51</v>
      </c>
      <c r="E98" s="134"/>
      <c r="F98" s="42"/>
      <c r="G98" s="304">
        <f>IF(OR((AND(G99="y",H99="y")),(AND(G100="y",H100="y"))),"Too Many CDs","")</f>
      </c>
      <c r="H98" s="304"/>
      <c r="I98" s="304">
        <f>IF(AND(I99="Y",I100="Y"),"Too Many Balls In Center",IF((IF(I99="Y",1,IF(I100="Y",1,0))+J100+K100+J99+K99)&gt;16,"Too Many Balls",""))</f>
      </c>
      <c r="J98" s="305"/>
      <c r="K98" s="305"/>
      <c r="L98" s="304">
        <f>IF(OR((AND(L99="y",M99="y")),(AND(L100="y",M100="y"))),"Not Both Stairs","")</f>
      </c>
      <c r="M98" s="304"/>
      <c r="N98" s="43"/>
      <c r="O98" s="304">
        <f>IF(OR((AND(O99="y",P99="y")),(AND(O100="y",P100="y"))),"Not Both Positions","")</f>
      </c>
      <c r="P98" s="304"/>
      <c r="Q98" s="43"/>
      <c r="R98" s="304">
        <f>IF(OR((AND(R99="y",S99="y")),(AND(R100="y",S100="y"))),"Too Much Food","")</f>
      </c>
      <c r="S98" s="304"/>
      <c r="T98" s="44"/>
      <c r="U98" s="17"/>
      <c r="V98" s="17"/>
      <c r="W98" s="17"/>
      <c r="X98" s="17"/>
      <c r="Y98" s="17"/>
    </row>
    <row r="99" spans="1:20" s="17" customFormat="1" ht="24.75" customHeight="1" thickBot="1">
      <c r="A99" s="132">
        <f>A96+1</f>
        <v>31</v>
      </c>
      <c r="B99" s="47">
        <v>1</v>
      </c>
      <c r="C99" s="48"/>
      <c r="D99" s="87"/>
      <c r="E99" s="133">
        <f>(IF(F99="y",$F$4,0))+(IF(G99="y",$G$4,0))+(IF(H99="y",$H$4,0))+(IF(I99="y",$I$4,0))+(IF((0&lt;J99)*(J99&lt;=16),J99*5,0))+(IF((0&lt;K99)*(K99&lt;=16),K99*2,0))+(IF(L99="y",$L$4,0))+(IF(M99="y",$M$4,0))+(IF((N99&gt;0)*(N99&lt;=3),N99*15,0))+(IF(O99="y",$O$4,0))+(IF(P99="y",$P$4,0))+(IF(Q99="y",$Q$4,0))+(IF(R99="y",$R$4,0))+(IF(S99="y",$S$4,0))+(IF((T99&gt;0)*(T99&lt;=3),T99*10,0))</f>
        <v>0</v>
      </c>
      <c r="F99" s="51"/>
      <c r="G99" s="51"/>
      <c r="H99" s="51"/>
      <c r="I99" s="51"/>
      <c r="J99" s="51"/>
      <c r="K99" s="51"/>
      <c r="L99" s="51"/>
      <c r="M99" s="51"/>
      <c r="N99" s="51"/>
      <c r="O99" s="51"/>
      <c r="P99" s="51"/>
      <c r="Q99" s="51"/>
      <c r="R99" s="51"/>
      <c r="S99" s="51"/>
      <c r="T99" s="51"/>
    </row>
    <row r="100" spans="1:20" s="17" customFormat="1" ht="24.75" customHeight="1" thickBot="1">
      <c r="A100" s="131"/>
      <c r="B100" s="52">
        <v>2</v>
      </c>
      <c r="C100" s="53"/>
      <c r="D100" s="87"/>
      <c r="E100" s="133">
        <f>(IF(F100="y",$F$4,0))+(IF(G100="y",$G$4,0))+(IF(H100="y",$H$4,0))+(IF(I100="y",$I$4,0))+(IF((0&lt;J100)*(J100&lt;=16),J100*5,0))+(IF((0&lt;K100)*(K100&lt;=16),K100*2,0))+(IF(L100="y",$L$4,0))+(IF(M100="y",$M$4,0))+(IF((N100&gt;0)*(N100&lt;=3),N100*15,0))+(IF(O100="y",$O$4,0))+(IF(P100="y",$P$4,0))+(IF(Q100="y",$Q$4,0))+(IF(R100="y",$R$4,0))+(IF(S100="y",$S$4,0))+(IF((T100&gt;0)*(T100&lt;=3),T100*10,0))</f>
        <v>0</v>
      </c>
      <c r="F100" s="51"/>
      <c r="G100" s="51"/>
      <c r="H100" s="51"/>
      <c r="I100" s="51"/>
      <c r="J100" s="51"/>
      <c r="K100" s="51"/>
      <c r="L100" s="51"/>
      <c r="M100" s="51"/>
      <c r="N100" s="51"/>
      <c r="O100" s="51"/>
      <c r="P100" s="51"/>
      <c r="Q100" s="51"/>
      <c r="R100" s="51"/>
      <c r="S100" s="51"/>
      <c r="T100" s="51"/>
    </row>
    <row r="101" spans="1:25" s="54" customFormat="1" ht="17.25" customHeight="1" thickBot="1">
      <c r="A101" s="37" t="s">
        <v>48</v>
      </c>
      <c r="B101" s="38" t="s">
        <v>49</v>
      </c>
      <c r="C101" s="39" t="s">
        <v>50</v>
      </c>
      <c r="D101" s="40" t="s">
        <v>51</v>
      </c>
      <c r="E101" s="134"/>
      <c r="F101" s="42"/>
      <c r="G101" s="304">
        <f>IF(OR((AND(G102="y",H102="y")),(AND(G103="y",H103="y"))),"Too Many CDs","")</f>
      </c>
      <c r="H101" s="304"/>
      <c r="I101" s="304">
        <f>IF(AND(I102="Y",I103="Y"),"Too Many Balls In Center",IF((IF(I102="Y",1,IF(I103="Y",1,0))+J103+K103+J102+K102)&gt;16,"Too Many Balls",""))</f>
      </c>
      <c r="J101" s="305"/>
      <c r="K101" s="305"/>
      <c r="L101" s="304">
        <f>IF(OR((AND(L102="y",M102="y")),(AND(L103="y",M103="y"))),"Not Both Stairs","")</f>
      </c>
      <c r="M101" s="304"/>
      <c r="N101" s="43"/>
      <c r="O101" s="304">
        <f>IF(OR((AND(O102="y",P102="y")),(AND(O103="y",P103="y"))),"Not Both Positions","")</f>
      </c>
      <c r="P101" s="304"/>
      <c r="Q101" s="43"/>
      <c r="R101" s="304">
        <f>IF(OR((AND(R102="y",S102="y")),(AND(R103="y",S103="y"))),"Too Much Food","")</f>
      </c>
      <c r="S101" s="304"/>
      <c r="T101" s="44"/>
      <c r="U101" s="17"/>
      <c r="V101" s="17"/>
      <c r="W101" s="17"/>
      <c r="X101" s="17"/>
      <c r="Y101" s="17"/>
    </row>
    <row r="102" spans="1:20" s="17" customFormat="1" ht="24.75" customHeight="1" thickBot="1">
      <c r="A102" s="132">
        <f>A99+1</f>
        <v>32</v>
      </c>
      <c r="B102" s="47">
        <v>1</v>
      </c>
      <c r="C102" s="48"/>
      <c r="D102" s="87"/>
      <c r="E102" s="133">
        <f>(IF(F102="y",$F$4,0))+(IF(G102="y",$G$4,0))+(IF(H102="y",$H$4,0))+(IF(I102="y",$I$4,0))+(IF((0&lt;J102)*(J102&lt;=16),J102*5,0))+(IF((0&lt;K102)*(K102&lt;=16),K102*2,0))+(IF(L102="y",$L$4,0))+(IF(M102="y",$M$4,0))+(IF((N102&gt;0)*(N102&lt;=3),N102*15,0))+(IF(O102="y",$O$4,0))+(IF(P102="y",$P$4,0))+(IF(Q102="y",$Q$4,0))+(IF(R102="y",$R$4,0))+(IF(S102="y",$S$4,0))+(IF((T102&gt;0)*(T102&lt;=3),T102*10,0))</f>
        <v>0</v>
      </c>
      <c r="F102" s="51"/>
      <c r="G102" s="51"/>
      <c r="H102" s="51"/>
      <c r="I102" s="51"/>
      <c r="J102" s="51"/>
      <c r="K102" s="51"/>
      <c r="L102" s="51"/>
      <c r="M102" s="51"/>
      <c r="N102" s="51"/>
      <c r="O102" s="51"/>
      <c r="P102" s="51"/>
      <c r="Q102" s="51"/>
      <c r="R102" s="51"/>
      <c r="S102" s="51"/>
      <c r="T102" s="51"/>
    </row>
    <row r="103" spans="1:20" s="17" customFormat="1" ht="24.75" customHeight="1" thickBot="1">
      <c r="A103" s="131"/>
      <c r="B103" s="52">
        <v>2</v>
      </c>
      <c r="C103" s="53"/>
      <c r="D103" s="87"/>
      <c r="E103" s="133">
        <f>(IF(F103="y",$F$4,0))+(IF(G103="y",$G$4,0))+(IF(H103="y",$H$4,0))+(IF(I103="y",$I$4,0))+(IF((0&lt;J103)*(J103&lt;=16),J103*5,0))+(IF((0&lt;K103)*(K103&lt;=16),K103*2,0))+(IF(L103="y",$L$4,0))+(IF(M103="y",$M$4,0))+(IF((N103&gt;0)*(N103&lt;=3),N103*15,0))+(IF(O103="y",$O$4,0))+(IF(P103="y",$P$4,0))+(IF(Q103="y",$Q$4,0))+(IF(R103="y",$R$4,0))+(IF(S103="y",$S$4,0))+(IF((T103&gt;0)*(T103&lt;=3),T103*10,0))</f>
        <v>0</v>
      </c>
      <c r="F103" s="51"/>
      <c r="G103" s="51"/>
      <c r="H103" s="51"/>
      <c r="I103" s="51"/>
      <c r="J103" s="51"/>
      <c r="K103" s="51"/>
      <c r="L103" s="51"/>
      <c r="M103" s="51"/>
      <c r="N103" s="51"/>
      <c r="O103" s="51"/>
      <c r="P103" s="51"/>
      <c r="Q103" s="51"/>
      <c r="R103" s="51"/>
      <c r="S103" s="51"/>
      <c r="T103" s="51"/>
    </row>
    <row r="104" spans="1:25" s="54" customFormat="1" ht="17.25" customHeight="1" thickBot="1">
      <c r="A104" s="37" t="s">
        <v>48</v>
      </c>
      <c r="B104" s="38" t="s">
        <v>49</v>
      </c>
      <c r="C104" s="39" t="s">
        <v>50</v>
      </c>
      <c r="D104" s="40" t="s">
        <v>51</v>
      </c>
      <c r="E104" s="134"/>
      <c r="F104" s="42"/>
      <c r="G104" s="304">
        <f>IF(OR((AND(G105="y",H105="y")),(AND(G106="y",H106="y"))),"Too Many CDs","")</f>
      </c>
      <c r="H104" s="304"/>
      <c r="I104" s="304">
        <f>IF(AND(I105="Y",I106="Y"),"Too Many Balls In Center",IF((IF(I105="Y",1,IF(I106="Y",1,0))+J106+K106+J105+K105)&gt;16,"Too Many Balls",""))</f>
      </c>
      <c r="J104" s="305"/>
      <c r="K104" s="305"/>
      <c r="L104" s="304">
        <f>IF(OR((AND(L105="y",M105="y")),(AND(L106="y",M106="y"))),"Not Both Stairs","")</f>
      </c>
      <c r="M104" s="304"/>
      <c r="N104" s="43"/>
      <c r="O104" s="304">
        <f>IF(OR((AND(O105="y",P105="y")),(AND(O106="y",P106="y"))),"Not Both Positions","")</f>
      </c>
      <c r="P104" s="304"/>
      <c r="Q104" s="43"/>
      <c r="R104" s="304">
        <f>IF(OR((AND(R105="y",S105="y")),(AND(R106="y",S106="y"))),"Too Much Food","")</f>
      </c>
      <c r="S104" s="304"/>
      <c r="T104" s="44"/>
      <c r="U104" s="17"/>
      <c r="V104" s="17"/>
      <c r="W104" s="17"/>
      <c r="X104" s="17"/>
      <c r="Y104" s="17"/>
    </row>
    <row r="105" spans="1:20" s="17" customFormat="1" ht="24.75" customHeight="1" thickBot="1">
      <c r="A105" s="132">
        <f>A102+1</f>
        <v>33</v>
      </c>
      <c r="B105" s="47">
        <v>1</v>
      </c>
      <c r="C105" s="48"/>
      <c r="D105" s="87"/>
      <c r="E105" s="133">
        <f>(IF(F105="y",$F$4,0))+(IF(G105="y",$G$4,0))+(IF(H105="y",$H$4,0))+(IF(I105="y",$I$4,0))+(IF((0&lt;J105)*(J105&lt;=16),J105*5,0))+(IF((0&lt;K105)*(K105&lt;=16),K105*2,0))+(IF(L105="y",$L$4,0))+(IF(M105="y",$M$4,0))+(IF((N105&gt;0)*(N105&lt;=3),N105*15,0))+(IF(O105="y",$O$4,0))+(IF(P105="y",$P$4,0))+(IF(Q105="y",$Q$4,0))+(IF(R105="y",$R$4,0))+(IF(S105="y",$S$4,0))+(IF((T105&gt;0)*(T105&lt;=3),T105*10,0))</f>
        <v>0</v>
      </c>
      <c r="F105" s="51"/>
      <c r="G105" s="51"/>
      <c r="H105" s="51"/>
      <c r="I105" s="51"/>
      <c r="J105" s="51"/>
      <c r="K105" s="51"/>
      <c r="L105" s="51"/>
      <c r="M105" s="51"/>
      <c r="N105" s="51"/>
      <c r="O105" s="51"/>
      <c r="P105" s="51"/>
      <c r="Q105" s="51"/>
      <c r="R105" s="51"/>
      <c r="S105" s="51"/>
      <c r="T105" s="51"/>
    </row>
    <row r="106" spans="1:20" s="17" customFormat="1" ht="24.75" customHeight="1" thickBot="1">
      <c r="A106" s="131"/>
      <c r="B106" s="52">
        <v>2</v>
      </c>
      <c r="C106" s="53"/>
      <c r="D106" s="87"/>
      <c r="E106" s="133">
        <f>(IF(F106="y",$F$4,0))+(IF(G106="y",$G$4,0))+(IF(H106="y",$H$4,0))+(IF(I106="y",$I$4,0))+(IF((0&lt;J106)*(J106&lt;=16),J106*5,0))+(IF((0&lt;K106)*(K106&lt;=16),K106*2,0))+(IF(L106="y",$L$4,0))+(IF(M106="y",$M$4,0))+(IF((N106&gt;0)*(N106&lt;=3),N106*15,0))+(IF(O106="y",$O$4,0))+(IF(P106="y",$P$4,0))+(IF(Q106="y",$Q$4,0))+(IF(R106="y",$R$4,0))+(IF(S106="y",$S$4,0))+(IF((T106&gt;0)*(T106&lt;=3),T106*10,0))</f>
        <v>0</v>
      </c>
      <c r="F106" s="51"/>
      <c r="G106" s="51"/>
      <c r="H106" s="51"/>
      <c r="I106" s="51"/>
      <c r="J106" s="51"/>
      <c r="K106" s="51"/>
      <c r="L106" s="51"/>
      <c r="M106" s="51"/>
      <c r="N106" s="51"/>
      <c r="O106" s="51"/>
      <c r="P106" s="51"/>
      <c r="Q106" s="51"/>
      <c r="R106" s="51"/>
      <c r="S106" s="51"/>
      <c r="T106" s="51"/>
    </row>
    <row r="107" spans="1:25" s="54" customFormat="1" ht="17.25" customHeight="1" thickBot="1">
      <c r="A107" s="37" t="s">
        <v>48</v>
      </c>
      <c r="B107" s="38" t="s">
        <v>49</v>
      </c>
      <c r="C107" s="39" t="s">
        <v>50</v>
      </c>
      <c r="D107" s="40" t="s">
        <v>51</v>
      </c>
      <c r="E107" s="134"/>
      <c r="F107" s="42"/>
      <c r="G107" s="304">
        <f>IF(OR((AND(G108="y",H108="y")),(AND(G109="y",H109="y"))),"Too Many CDs","")</f>
      </c>
      <c r="H107" s="304"/>
      <c r="I107" s="304">
        <f>IF(AND(I108="Y",I109="Y"),"Too Many Balls In Center",IF((IF(I108="Y",1,IF(I109="Y",1,0))+J109+K109+J108+K108)&gt;16,"Too Many Balls",""))</f>
      </c>
      <c r="J107" s="305"/>
      <c r="K107" s="305"/>
      <c r="L107" s="304">
        <f>IF(OR((AND(L108="y",M108="y")),(AND(L109="y",M109="y"))),"Not Both Stairs","")</f>
      </c>
      <c r="M107" s="304"/>
      <c r="N107" s="43"/>
      <c r="O107" s="304">
        <f>IF(OR((AND(O108="y",P108="y")),(AND(O109="y",P109="y"))),"Not Both Positions","")</f>
      </c>
      <c r="P107" s="304"/>
      <c r="Q107" s="43"/>
      <c r="R107" s="304">
        <f>IF(OR((AND(R108="y",S108="y")),(AND(R109="y",S109="y"))),"Too Much Food","")</f>
      </c>
      <c r="S107" s="304"/>
      <c r="T107" s="44"/>
      <c r="U107" s="17"/>
      <c r="V107" s="17"/>
      <c r="W107" s="17"/>
      <c r="X107" s="17"/>
      <c r="Y107" s="17"/>
    </row>
    <row r="108" spans="1:20" s="17" customFormat="1" ht="24.75" customHeight="1" thickBot="1">
      <c r="A108" s="132">
        <f>A105+1</f>
        <v>34</v>
      </c>
      <c r="B108" s="47">
        <v>1</v>
      </c>
      <c r="C108" s="48"/>
      <c r="D108" s="87"/>
      <c r="E108" s="133">
        <f>(IF(F108="y",$F$4,0))+(IF(G108="y",$G$4,0))+(IF(H108="y",$H$4,0))+(IF(I108="y",$I$4,0))+(IF((0&lt;J108)*(J108&lt;=16),J108*5,0))+(IF((0&lt;K108)*(K108&lt;=16),K108*2,0))+(IF(L108="y",$L$4,0))+(IF(M108="y",$M$4,0))+(IF((N108&gt;0)*(N108&lt;=3),N108*15,0))+(IF(O108="y",$O$4,0))+(IF(P108="y",$P$4,0))+(IF(Q108="y",$Q$4,0))+(IF(R108="y",$R$4,0))+(IF(S108="y",$S$4,0))+(IF((T108&gt;0)*(T108&lt;=3),T108*10,0))</f>
        <v>0</v>
      </c>
      <c r="F108" s="51"/>
      <c r="G108" s="51"/>
      <c r="H108" s="51"/>
      <c r="I108" s="51"/>
      <c r="J108" s="51"/>
      <c r="K108" s="51"/>
      <c r="L108" s="51"/>
      <c r="M108" s="51"/>
      <c r="N108" s="51"/>
      <c r="O108" s="51"/>
      <c r="P108" s="51"/>
      <c r="Q108" s="51"/>
      <c r="R108" s="51"/>
      <c r="S108" s="51"/>
      <c r="T108" s="51"/>
    </row>
    <row r="109" spans="1:20" s="17" customFormat="1" ht="24.75" customHeight="1" thickBot="1">
      <c r="A109" s="131"/>
      <c r="B109" s="52">
        <v>2</v>
      </c>
      <c r="C109" s="53"/>
      <c r="D109" s="87"/>
      <c r="E109" s="133">
        <f>(IF(F109="y",$F$4,0))+(IF(G109="y",$G$4,0))+(IF(H109="y",$H$4,0))+(IF(I109="y",$I$4,0))+(IF((0&lt;J109)*(J109&lt;=16),J109*5,0))+(IF((0&lt;K109)*(K109&lt;=16),K109*2,0))+(IF(L109="y",$L$4,0))+(IF(M109="y",$M$4,0))+(IF((N109&gt;0)*(N109&lt;=3),N109*15,0))+(IF(O109="y",$O$4,0))+(IF(P109="y",$P$4,0))+(IF(Q109="y",$Q$4,0))+(IF(R109="y",$R$4,0))+(IF(S109="y",$S$4,0))+(IF((T109&gt;0)*(T109&lt;=3),T109*10,0))</f>
        <v>0</v>
      </c>
      <c r="F109" s="51"/>
      <c r="G109" s="51"/>
      <c r="H109" s="51"/>
      <c r="I109" s="51"/>
      <c r="J109" s="51"/>
      <c r="K109" s="51"/>
      <c r="L109" s="51"/>
      <c r="M109" s="51"/>
      <c r="N109" s="51"/>
      <c r="O109" s="51"/>
      <c r="P109" s="51"/>
      <c r="Q109" s="51"/>
      <c r="R109" s="51"/>
      <c r="S109" s="51"/>
      <c r="T109" s="51"/>
    </row>
    <row r="110" spans="1:25" s="54" customFormat="1" ht="17.25" customHeight="1" thickBot="1">
      <c r="A110" s="37" t="s">
        <v>48</v>
      </c>
      <c r="B110" s="38" t="s">
        <v>49</v>
      </c>
      <c r="C110" s="39" t="s">
        <v>50</v>
      </c>
      <c r="D110" s="40" t="s">
        <v>51</v>
      </c>
      <c r="E110" s="134"/>
      <c r="F110" s="42"/>
      <c r="G110" s="304">
        <f>IF(OR((AND(G111="y",H111="y")),(AND(G112="y",H112="y"))),"Too Many CDs","")</f>
      </c>
      <c r="H110" s="304"/>
      <c r="I110" s="304">
        <f>IF(AND(I111="Y",I112="Y"),"Too Many Balls In Center",IF((IF(I111="Y",1,IF(I112="Y",1,0))+J112+K112+J111+K111)&gt;16,"Too Many Balls",""))</f>
      </c>
      <c r="J110" s="305"/>
      <c r="K110" s="305"/>
      <c r="L110" s="304">
        <f>IF(OR((AND(L111="y",M111="y")),(AND(L112="y",M112="y"))),"Not Both Stairs","")</f>
      </c>
      <c r="M110" s="304"/>
      <c r="N110" s="43"/>
      <c r="O110" s="304">
        <f>IF(OR((AND(O111="y",P111="y")),(AND(O112="y",P112="y"))),"Not Both Positions","")</f>
      </c>
      <c r="P110" s="304"/>
      <c r="Q110" s="43"/>
      <c r="R110" s="304">
        <f>IF(OR((AND(R111="y",S111="y")),(AND(R112="y",S112="y"))),"Too Much Food","")</f>
      </c>
      <c r="S110" s="304"/>
      <c r="T110" s="44"/>
      <c r="U110" s="17"/>
      <c r="V110" s="17"/>
      <c r="W110" s="17"/>
      <c r="X110" s="17"/>
      <c r="Y110" s="17"/>
    </row>
    <row r="111" spans="1:20" s="17" customFormat="1" ht="24.75" customHeight="1" thickBot="1">
      <c r="A111" s="132">
        <f>A108+1</f>
        <v>35</v>
      </c>
      <c r="B111" s="47">
        <v>1</v>
      </c>
      <c r="C111" s="48"/>
      <c r="D111" s="87"/>
      <c r="E111" s="133">
        <f>(IF(F111="y",$F$4,0))+(IF(G111="y",$G$4,0))+(IF(H111="y",$H$4,0))+(IF(I111="y",$I$4,0))+(IF((0&lt;J111)*(J111&lt;=16),J111*5,0))+(IF((0&lt;K111)*(K111&lt;=16),K111*2,0))+(IF(L111="y",$L$4,0))+(IF(M111="y",$M$4,0))+(IF((N111&gt;0)*(N111&lt;=3),N111*15,0))+(IF(O111="y",$O$4,0))+(IF(P111="y",$P$4,0))+(IF(Q111="y",$Q$4,0))+(IF(R111="y",$R$4,0))+(IF(S111="y",$S$4,0))+(IF((T111&gt;0)*(T111&lt;=3),T111*10,0))</f>
        <v>0</v>
      </c>
      <c r="F111" s="51"/>
      <c r="G111" s="51"/>
      <c r="H111" s="51"/>
      <c r="I111" s="51"/>
      <c r="J111" s="51"/>
      <c r="K111" s="51"/>
      <c r="L111" s="51"/>
      <c r="M111" s="51"/>
      <c r="N111" s="51"/>
      <c r="O111" s="51"/>
      <c r="P111" s="51"/>
      <c r="Q111" s="51"/>
      <c r="R111" s="51"/>
      <c r="S111" s="51"/>
      <c r="T111" s="51"/>
    </row>
    <row r="112" spans="1:20" s="17" customFormat="1" ht="24.75" customHeight="1" thickBot="1">
      <c r="A112" s="131"/>
      <c r="B112" s="52">
        <v>2</v>
      </c>
      <c r="C112" s="53"/>
      <c r="D112" s="87"/>
      <c r="E112" s="133">
        <f>(IF(F112="y",$F$4,0))+(IF(G112="y",$G$4,0))+(IF(H112="y",$H$4,0))+(IF(I112="y",$I$4,0))+(IF((0&lt;J112)*(J112&lt;=16),J112*5,0))+(IF((0&lt;K112)*(K112&lt;=16),K112*2,0))+(IF(L112="y",$L$4,0))+(IF(M112="y",$M$4,0))+(IF((N112&gt;0)*(N112&lt;=3),N112*15,0))+(IF(O112="y",$O$4,0))+(IF(P112="y",$P$4,0))+(IF(Q112="y",$Q$4,0))+(IF(R112="y",$R$4,0))+(IF(S112="y",$S$4,0))+(IF((T112&gt;0)*(T112&lt;=3),T112*10,0))</f>
        <v>0</v>
      </c>
      <c r="F112" s="51"/>
      <c r="G112" s="51"/>
      <c r="H112" s="51"/>
      <c r="I112" s="51"/>
      <c r="J112" s="51"/>
      <c r="K112" s="51"/>
      <c r="L112" s="51"/>
      <c r="M112" s="51"/>
      <c r="N112" s="51"/>
      <c r="O112" s="51"/>
      <c r="P112" s="51"/>
      <c r="Q112" s="51"/>
      <c r="R112" s="51"/>
      <c r="S112" s="51"/>
      <c r="T112" s="51"/>
    </row>
    <row r="113" spans="1:25" s="54" customFormat="1" ht="17.25" customHeight="1" thickBot="1">
      <c r="A113" s="37" t="s">
        <v>48</v>
      </c>
      <c r="B113" s="38" t="s">
        <v>49</v>
      </c>
      <c r="C113" s="39" t="s">
        <v>50</v>
      </c>
      <c r="D113" s="40" t="s">
        <v>51</v>
      </c>
      <c r="E113" s="134"/>
      <c r="F113" s="42"/>
      <c r="G113" s="304">
        <f>IF(OR((AND(G114="y",H114="y")),(AND(G115="y",H115="y"))),"Too Many CDs","")</f>
      </c>
      <c r="H113" s="304"/>
      <c r="I113" s="304">
        <f>IF(AND(I114="Y",I115="Y"),"Too Many Balls In Center",IF((IF(I114="Y",1,IF(I115="Y",1,0))+J115+K115+J114+K114)&gt;16,"Too Many Balls",""))</f>
      </c>
      <c r="J113" s="305"/>
      <c r="K113" s="305"/>
      <c r="L113" s="304">
        <f>IF(OR((AND(L114="y",M114="y")),(AND(L115="y",M115="y"))),"Not Both Stairs","")</f>
      </c>
      <c r="M113" s="304"/>
      <c r="N113" s="43"/>
      <c r="O113" s="304">
        <f>IF(OR((AND(O114="y",P114="y")),(AND(O115="y",P115="y"))),"Not Both Positions","")</f>
      </c>
      <c r="P113" s="304"/>
      <c r="Q113" s="43"/>
      <c r="R113" s="304">
        <f>IF(OR((AND(R114="y",S114="y")),(AND(R115="y",S115="y"))),"Too Much Food","")</f>
      </c>
      <c r="S113" s="304"/>
      <c r="T113" s="44"/>
      <c r="U113" s="17"/>
      <c r="V113" s="17"/>
      <c r="W113" s="17"/>
      <c r="X113" s="17"/>
      <c r="Y113" s="17"/>
    </row>
    <row r="114" spans="1:20" s="17" customFormat="1" ht="24.75" customHeight="1" thickBot="1">
      <c r="A114" s="132">
        <f>A111+1</f>
        <v>36</v>
      </c>
      <c r="B114" s="47">
        <v>1</v>
      </c>
      <c r="C114" s="48"/>
      <c r="D114" s="87"/>
      <c r="E114" s="133">
        <f>(IF(F114="y",$F$4,0))+(IF(G114="y",$G$4,0))+(IF(H114="y",$H$4,0))+(IF(I114="y",$I$4,0))+(IF((0&lt;J114)*(J114&lt;=16),J114*5,0))+(IF((0&lt;K114)*(K114&lt;=16),K114*2,0))+(IF(L114="y",$L$4,0))+(IF(M114="y",$M$4,0))+(IF((N114&gt;0)*(N114&lt;=3),N114*15,0))+(IF(O114="y",$O$4,0))+(IF(P114="y",$P$4,0))+(IF(Q114="y",$Q$4,0))+(IF(R114="y",$R$4,0))+(IF(S114="y",$S$4,0))+(IF((T114&gt;0)*(T114&lt;=3),T114*10,0))</f>
        <v>0</v>
      </c>
      <c r="F114" s="51"/>
      <c r="G114" s="51"/>
      <c r="H114" s="51"/>
      <c r="I114" s="51"/>
      <c r="J114" s="51"/>
      <c r="K114" s="51"/>
      <c r="L114" s="51"/>
      <c r="M114" s="51"/>
      <c r="N114" s="51"/>
      <c r="O114" s="51"/>
      <c r="P114" s="51"/>
      <c r="Q114" s="51"/>
      <c r="R114" s="51"/>
      <c r="S114" s="51"/>
      <c r="T114" s="51"/>
    </row>
    <row r="115" spans="1:20" s="17" customFormat="1" ht="24.75" customHeight="1" thickBot="1">
      <c r="A115" s="131"/>
      <c r="B115" s="52">
        <v>2</v>
      </c>
      <c r="C115" s="53"/>
      <c r="D115" s="87"/>
      <c r="E115" s="133">
        <f>(IF(F115="y",$F$4,0))+(IF(G115="y",$G$4,0))+(IF(H115="y",$H$4,0))+(IF(I115="y",$I$4,0))+(IF((0&lt;J115)*(J115&lt;=16),J115*5,0))+(IF((0&lt;K115)*(K115&lt;=16),K115*2,0))+(IF(L115="y",$L$4,0))+(IF(M115="y",$M$4,0))+(IF((N115&gt;0)*(N115&lt;=3),N115*15,0))+(IF(O115="y",$O$4,0))+(IF(P115="y",$P$4,0))+(IF(Q115="y",$Q$4,0))+(IF(R115="y",$R$4,0))+(IF(S115="y",$S$4,0))+(IF((T115&gt;0)*(T115&lt;=3),T115*10,0))</f>
        <v>0</v>
      </c>
      <c r="F115" s="51"/>
      <c r="G115" s="51"/>
      <c r="H115" s="51"/>
      <c r="I115" s="51"/>
      <c r="J115" s="51"/>
      <c r="K115" s="51"/>
      <c r="L115" s="51"/>
      <c r="M115" s="51"/>
      <c r="N115" s="51"/>
      <c r="O115" s="51"/>
      <c r="P115" s="51"/>
      <c r="Q115" s="51"/>
      <c r="R115" s="51"/>
      <c r="S115" s="51"/>
      <c r="T115" s="51"/>
    </row>
    <row r="116" spans="1:25" s="54" customFormat="1" ht="17.25" customHeight="1" thickBot="1">
      <c r="A116" s="37" t="s">
        <v>48</v>
      </c>
      <c r="B116" s="38" t="s">
        <v>49</v>
      </c>
      <c r="C116" s="39" t="s">
        <v>50</v>
      </c>
      <c r="D116" s="40" t="s">
        <v>51</v>
      </c>
      <c r="E116" s="134"/>
      <c r="F116" s="42"/>
      <c r="G116" s="304">
        <f>IF(OR((AND(G117="y",H117="y")),(AND(G118="y",H118="y"))),"Too Many CDs","")</f>
      </c>
      <c r="H116" s="304"/>
      <c r="I116" s="304">
        <f>IF(AND(I117="Y",I118="Y"),"Too Many Balls In Center",IF((IF(I117="Y",1,IF(I118="Y",1,0))+J118+K118+J117+K117)&gt;16,"Too Many Balls",""))</f>
      </c>
      <c r="J116" s="305"/>
      <c r="K116" s="305"/>
      <c r="L116" s="304">
        <f>IF(OR((AND(L117="y",M117="y")),(AND(L118="y",M118="y"))),"Not Both Stairs","")</f>
      </c>
      <c r="M116" s="304"/>
      <c r="N116" s="43"/>
      <c r="O116" s="304">
        <f>IF(OR((AND(O117="y",P117="y")),(AND(O118="y",P118="y"))),"Not Both Positions","")</f>
      </c>
      <c r="P116" s="304"/>
      <c r="Q116" s="43"/>
      <c r="R116" s="304">
        <f>IF(OR((AND(R117="y",S117="y")),(AND(R118="y",S118="y"))),"Too Much Food","")</f>
      </c>
      <c r="S116" s="304"/>
      <c r="T116" s="44"/>
      <c r="U116" s="17"/>
      <c r="V116" s="17"/>
      <c r="W116" s="17"/>
      <c r="X116" s="17"/>
      <c r="Y116" s="17"/>
    </row>
    <row r="117" spans="1:20" s="17" customFormat="1" ht="24.75" customHeight="1" thickBot="1">
      <c r="A117" s="132">
        <f>A114+1</f>
        <v>37</v>
      </c>
      <c r="B117" s="47">
        <v>1</v>
      </c>
      <c r="C117" s="48"/>
      <c r="D117" s="87"/>
      <c r="E117" s="133">
        <f>(IF(F117="y",$F$4,0))+(IF(G117="y",$G$4,0))+(IF(H117="y",$H$4,0))+(IF(I117="y",$I$4,0))+(IF((0&lt;J117)*(J117&lt;=16),J117*5,0))+(IF((0&lt;K117)*(K117&lt;=16),K117*2,0))+(IF(L117="y",$L$4,0))+(IF(M117="y",$M$4,0))+(IF((N117&gt;0)*(N117&lt;=3),N117*15,0))+(IF(O117="y",$O$4,0))+(IF(P117="y",$P$4,0))+(IF(Q117="y",$Q$4,0))+(IF(R117="y",$R$4,0))+(IF(S117="y",$S$4,0))+(IF((T117&gt;0)*(T117&lt;=3),T117*10,0))</f>
        <v>0</v>
      </c>
      <c r="F117" s="51"/>
      <c r="G117" s="51"/>
      <c r="H117" s="51"/>
      <c r="I117" s="51"/>
      <c r="J117" s="51"/>
      <c r="K117" s="51"/>
      <c r="L117" s="51"/>
      <c r="M117" s="51"/>
      <c r="N117" s="51"/>
      <c r="O117" s="51"/>
      <c r="P117" s="51"/>
      <c r="Q117" s="51"/>
      <c r="R117" s="51"/>
      <c r="S117" s="51"/>
      <c r="T117" s="51"/>
    </row>
    <row r="118" spans="1:20" s="17" customFormat="1" ht="24.75" customHeight="1" thickBot="1">
      <c r="A118" s="131"/>
      <c r="B118" s="52">
        <v>2</v>
      </c>
      <c r="C118" s="53"/>
      <c r="D118" s="87"/>
      <c r="E118" s="133">
        <f>(IF(F118="y",$F$4,0))+(IF(G118="y",$G$4,0))+(IF(H118="y",$H$4,0))+(IF(I118="y",$I$4,0))+(IF((0&lt;J118)*(J118&lt;=16),J118*5,0))+(IF((0&lt;K118)*(K118&lt;=16),K118*2,0))+(IF(L118="y",$L$4,0))+(IF(M118="y",$M$4,0))+(IF((N118&gt;0)*(N118&lt;=3),N118*15,0))+(IF(O118="y",$O$4,0))+(IF(P118="y",$P$4,0))+(IF(Q118="y",$Q$4,0))+(IF(R118="y",$R$4,0))+(IF(S118="y",$S$4,0))+(IF((T118&gt;0)*(T118&lt;=3),T118*10,0))</f>
        <v>0</v>
      </c>
      <c r="F118" s="51"/>
      <c r="G118" s="51"/>
      <c r="H118" s="51"/>
      <c r="I118" s="51"/>
      <c r="J118" s="51"/>
      <c r="K118" s="51"/>
      <c r="L118" s="51"/>
      <c r="M118" s="51"/>
      <c r="N118" s="51"/>
      <c r="O118" s="51"/>
      <c r="P118" s="51"/>
      <c r="Q118" s="51"/>
      <c r="R118" s="51"/>
      <c r="S118" s="51"/>
      <c r="T118" s="51"/>
    </row>
    <row r="119" spans="1:25" s="54" customFormat="1" ht="17.25" customHeight="1" thickBot="1">
      <c r="A119" s="37" t="s">
        <v>48</v>
      </c>
      <c r="B119" s="38" t="s">
        <v>49</v>
      </c>
      <c r="C119" s="39" t="s">
        <v>50</v>
      </c>
      <c r="D119" s="40" t="s">
        <v>51</v>
      </c>
      <c r="E119" s="134"/>
      <c r="F119" s="42"/>
      <c r="G119" s="304">
        <f>IF(OR((AND(G120="y",H120="y")),(AND(G121="y",H121="y"))),"Too Many CDs","")</f>
      </c>
      <c r="H119" s="304"/>
      <c r="I119" s="304">
        <f>IF(AND(I120="Y",I121="Y"),"Too Many Balls In Center",IF((IF(I120="Y",1,IF(I121="Y",1,0))+J121+K121+J120+K120)&gt;16,"Too Many Balls",""))</f>
      </c>
      <c r="J119" s="305"/>
      <c r="K119" s="305"/>
      <c r="L119" s="304">
        <f>IF(OR((AND(L120="y",M120="y")),(AND(L121="y",M121="y"))),"Not Both Stairs","")</f>
      </c>
      <c r="M119" s="304"/>
      <c r="N119" s="43"/>
      <c r="O119" s="304">
        <f>IF(OR((AND(O120="y",P120="y")),(AND(O121="y",P121="y"))),"Not Both Positions","")</f>
      </c>
      <c r="P119" s="304"/>
      <c r="Q119" s="43"/>
      <c r="R119" s="304">
        <f>IF(OR((AND(R120="y",S120="y")),(AND(R121="y",S121="y"))),"Too Much Food","")</f>
      </c>
      <c r="S119" s="304"/>
      <c r="T119" s="44"/>
      <c r="U119" s="17"/>
      <c r="V119" s="17"/>
      <c r="W119" s="17"/>
      <c r="X119" s="17"/>
      <c r="Y119" s="17"/>
    </row>
    <row r="120" spans="1:20" s="17" customFormat="1" ht="24.75" customHeight="1" thickBot="1">
      <c r="A120" s="132">
        <f>A117+1</f>
        <v>38</v>
      </c>
      <c r="B120" s="47">
        <v>1</v>
      </c>
      <c r="C120" s="48"/>
      <c r="D120" s="87"/>
      <c r="E120" s="133">
        <f>(IF(F120="y",$F$4,0))+(IF(G120="y",$G$4,0))+(IF(H120="y",$H$4,0))+(IF(I120="y",$I$4,0))+(IF((0&lt;J120)*(J120&lt;=16),J120*5,0))+(IF((0&lt;K120)*(K120&lt;=16),K120*2,0))+(IF(L120="y",$L$4,0))+(IF(M120="y",$M$4,0))+(IF((N120&gt;0)*(N120&lt;=3),N120*15,0))+(IF(O120="y",$O$4,0))+(IF(P120="y",$P$4,0))+(IF(Q120="y",$Q$4,0))+(IF(R120="y",$R$4,0))+(IF(S120="y",$S$4,0))+(IF((T120&gt;0)*(T120&lt;=3),T120*10,0))</f>
        <v>0</v>
      </c>
      <c r="F120" s="51"/>
      <c r="G120" s="51"/>
      <c r="H120" s="51"/>
      <c r="I120" s="51"/>
      <c r="J120" s="51"/>
      <c r="K120" s="51"/>
      <c r="L120" s="51"/>
      <c r="M120" s="51"/>
      <c r="N120" s="51"/>
      <c r="O120" s="51"/>
      <c r="P120" s="51"/>
      <c r="Q120" s="51"/>
      <c r="R120" s="51"/>
      <c r="S120" s="51"/>
      <c r="T120" s="51"/>
    </row>
    <row r="121" spans="1:20" s="17" customFormat="1" ht="24.75" customHeight="1" thickBot="1">
      <c r="A121" s="131"/>
      <c r="B121" s="52">
        <v>2</v>
      </c>
      <c r="C121" s="53"/>
      <c r="D121" s="87"/>
      <c r="E121" s="133">
        <f>(IF(F121="y",$F$4,0))+(IF(G121="y",$G$4,0))+(IF(H121="y",$H$4,0))+(IF(I121="y",$I$4,0))+(IF((0&lt;J121)*(J121&lt;=16),J121*5,0))+(IF((0&lt;K121)*(K121&lt;=16),K121*2,0))+(IF(L121="y",$L$4,0))+(IF(M121="y",$M$4,0))+(IF((N121&gt;0)*(N121&lt;=3),N121*15,0))+(IF(O121="y",$O$4,0))+(IF(P121="y",$P$4,0))+(IF(Q121="y",$Q$4,0))+(IF(R121="y",$R$4,0))+(IF(S121="y",$S$4,0))+(IF((T121&gt;0)*(T121&lt;=3),T121*10,0))</f>
        <v>0</v>
      </c>
      <c r="F121" s="51"/>
      <c r="G121" s="51"/>
      <c r="H121" s="51"/>
      <c r="I121" s="51"/>
      <c r="J121" s="51"/>
      <c r="K121" s="51"/>
      <c r="L121" s="51"/>
      <c r="M121" s="51"/>
      <c r="N121" s="51"/>
      <c r="O121" s="51"/>
      <c r="P121" s="51"/>
      <c r="Q121" s="51"/>
      <c r="R121" s="51"/>
      <c r="S121" s="51"/>
      <c r="T121" s="51"/>
    </row>
    <row r="122" spans="1:25" s="54" customFormat="1" ht="17.25" customHeight="1" thickBot="1">
      <c r="A122" s="37" t="s">
        <v>48</v>
      </c>
      <c r="B122" s="38" t="s">
        <v>49</v>
      </c>
      <c r="C122" s="39" t="s">
        <v>50</v>
      </c>
      <c r="D122" s="40" t="s">
        <v>51</v>
      </c>
      <c r="E122" s="134"/>
      <c r="F122" s="42"/>
      <c r="G122" s="304">
        <f>IF(OR((AND(G123="y",H123="y")),(AND(G124="y",H124="y"))),"Too Many CDs","")</f>
      </c>
      <c r="H122" s="304"/>
      <c r="I122" s="304">
        <f>IF(AND(I123="Y",I124="Y"),"Too Many Balls In Center",IF((IF(I123="Y",1,IF(I124="Y",1,0))+J124+K124+J123+K123)&gt;16,"Too Many Balls",""))</f>
      </c>
      <c r="J122" s="305"/>
      <c r="K122" s="305"/>
      <c r="L122" s="304">
        <f>IF(OR((AND(L123="y",M123="y")),(AND(L124="y",M124="y"))),"Not Both Stairs","")</f>
      </c>
      <c r="M122" s="304"/>
      <c r="N122" s="43"/>
      <c r="O122" s="304">
        <f>IF(OR((AND(O123="y",P123="y")),(AND(O124="y",P124="y"))),"Not Both Positions","")</f>
      </c>
      <c r="P122" s="304"/>
      <c r="Q122" s="43"/>
      <c r="R122" s="304">
        <f>IF(OR((AND(R123="y",S123="y")),(AND(R124="y",S124="y"))),"Too Much Food","")</f>
      </c>
      <c r="S122" s="304"/>
      <c r="T122" s="44"/>
      <c r="U122" s="17"/>
      <c r="V122" s="17"/>
      <c r="W122" s="17"/>
      <c r="X122" s="17"/>
      <c r="Y122" s="17"/>
    </row>
    <row r="123" spans="1:20" s="17" customFormat="1" ht="24.75" customHeight="1" thickBot="1">
      <c r="A123" s="132">
        <f>A120+1</f>
        <v>39</v>
      </c>
      <c r="B123" s="47">
        <v>1</v>
      </c>
      <c r="C123" s="48"/>
      <c r="D123" s="87"/>
      <c r="E123" s="133">
        <f>(IF(F123="y",$F$4,0))+(IF(G123="y",$G$4,0))+(IF(H123="y",$H$4,0))+(IF(I123="y",$I$4,0))+(IF((0&lt;J123)*(J123&lt;=16),J123*5,0))+(IF((0&lt;K123)*(K123&lt;=16),K123*2,0))+(IF(L123="y",$L$4,0))+(IF(M123="y",$M$4,0))+(IF((N123&gt;0)*(N123&lt;=3),N123*15,0))+(IF(O123="y",$O$4,0))+(IF(P123="y",$P$4,0))+(IF(Q123="y",$Q$4,0))+(IF(R123="y",$R$4,0))+(IF(S123="y",$S$4,0))+(IF((T123&gt;0)*(T123&lt;=3),T123*10,0))</f>
        <v>0</v>
      </c>
      <c r="F123" s="51"/>
      <c r="G123" s="51"/>
      <c r="H123" s="51"/>
      <c r="I123" s="51"/>
      <c r="J123" s="51"/>
      <c r="K123" s="51"/>
      <c r="L123" s="51"/>
      <c r="M123" s="51"/>
      <c r="N123" s="51"/>
      <c r="O123" s="51"/>
      <c r="P123" s="51"/>
      <c r="Q123" s="51"/>
      <c r="R123" s="51"/>
      <c r="S123" s="51"/>
      <c r="T123" s="51"/>
    </row>
    <row r="124" spans="1:20" s="17" customFormat="1" ht="24.75" customHeight="1" thickBot="1">
      <c r="A124" s="131"/>
      <c r="B124" s="52">
        <v>2</v>
      </c>
      <c r="C124" s="53"/>
      <c r="D124" s="87"/>
      <c r="E124" s="133">
        <f>(IF(F124="y",$F$4,0))+(IF(G124="y",$G$4,0))+(IF(H124="y",$H$4,0))+(IF(I124="y",$I$4,0))+(IF((0&lt;J124)*(J124&lt;=16),J124*5,0))+(IF((0&lt;K124)*(K124&lt;=16),K124*2,0))+(IF(L124="y",$L$4,0))+(IF(M124="y",$M$4,0))+(IF((N124&gt;0)*(N124&lt;=3),N124*15,0))+(IF(O124="y",$O$4,0))+(IF(P124="y",$P$4,0))+(IF(Q124="y",$Q$4,0))+(IF(R124="y",$R$4,0))+(IF(S124="y",$S$4,0))+(IF((T124&gt;0)*(T124&lt;=3),T124*10,0))</f>
        <v>0</v>
      </c>
      <c r="F124" s="51"/>
      <c r="G124" s="51"/>
      <c r="H124" s="51"/>
      <c r="I124" s="51"/>
      <c r="J124" s="51"/>
      <c r="K124" s="51"/>
      <c r="L124" s="51"/>
      <c r="M124" s="51"/>
      <c r="N124" s="51"/>
      <c r="O124" s="51"/>
      <c r="P124" s="51"/>
      <c r="Q124" s="51"/>
      <c r="R124" s="51"/>
      <c r="S124" s="51"/>
      <c r="T124" s="51"/>
    </row>
    <row r="125" spans="1:25" s="54" customFormat="1" ht="17.25" customHeight="1" thickBot="1">
      <c r="A125" s="37" t="s">
        <v>48</v>
      </c>
      <c r="B125" s="38" t="s">
        <v>49</v>
      </c>
      <c r="C125" s="39" t="s">
        <v>50</v>
      </c>
      <c r="D125" s="40" t="s">
        <v>51</v>
      </c>
      <c r="E125" s="134"/>
      <c r="F125" s="42"/>
      <c r="G125" s="304">
        <f>IF(OR((AND(G126="y",H126="y")),(AND(G127="y",H127="y"))),"Too Many CDs","")</f>
      </c>
      <c r="H125" s="304"/>
      <c r="I125" s="304">
        <f>IF(AND(I126="Y",I127="Y"),"Too Many Balls In Center",IF((IF(I126="Y",1,IF(I127="Y",1,0))+J127+K127+J126+K126)&gt;16,"Too Many Balls",""))</f>
      </c>
      <c r="J125" s="305"/>
      <c r="K125" s="305"/>
      <c r="L125" s="304">
        <f>IF(OR((AND(L126="y",M126="y")),(AND(L127="y",M127="y"))),"Not Both Stairs","")</f>
      </c>
      <c r="M125" s="304"/>
      <c r="N125" s="43"/>
      <c r="O125" s="304">
        <f>IF(OR((AND(O126="y",P126="y")),(AND(O127="y",P127="y"))),"Not Both Positions","")</f>
      </c>
      <c r="P125" s="304"/>
      <c r="Q125" s="43"/>
      <c r="R125" s="304">
        <f>IF(OR((AND(R126="y",S126="y")),(AND(R127="y",S127="y"))),"Too Much Food","")</f>
      </c>
      <c r="S125" s="304"/>
      <c r="T125" s="44"/>
      <c r="U125" s="17"/>
      <c r="V125" s="17"/>
      <c r="W125" s="17"/>
      <c r="X125" s="17"/>
      <c r="Y125" s="17"/>
    </row>
    <row r="126" spans="1:20" s="17" customFormat="1" ht="24.75" customHeight="1" thickBot="1">
      <c r="A126" s="132">
        <f>A123+1</f>
        <v>40</v>
      </c>
      <c r="B126" s="47">
        <v>1</v>
      </c>
      <c r="C126" s="48"/>
      <c r="D126" s="87"/>
      <c r="E126" s="133">
        <f>(IF(F126="y",$F$4,0))+(IF(G126="y",$G$4,0))+(IF(H126="y",$H$4,0))+(IF(I126="y",$I$4,0))+(IF((0&lt;J126)*(J126&lt;=16),J126*5,0))+(IF((0&lt;K126)*(K126&lt;=16),K126*2,0))+(IF(L126="y",$L$4,0))+(IF(M126="y",$M$4,0))+(IF((N126&gt;0)*(N126&lt;=3),N126*15,0))+(IF(O126="y",$O$4,0))+(IF(P126="y",$P$4,0))+(IF(Q126="y",$Q$4,0))+(IF(R126="y",$R$4,0))+(IF(S126="y",$S$4,0))+(IF((T126&gt;0)*(T126&lt;=3),T126*10,0))</f>
        <v>0</v>
      </c>
      <c r="F126" s="51"/>
      <c r="G126" s="51"/>
      <c r="H126" s="51"/>
      <c r="I126" s="51"/>
      <c r="J126" s="51"/>
      <c r="K126" s="51"/>
      <c r="L126" s="51"/>
      <c r="M126" s="51"/>
      <c r="N126" s="51"/>
      <c r="O126" s="51"/>
      <c r="P126" s="51"/>
      <c r="Q126" s="51"/>
      <c r="R126" s="51"/>
      <c r="S126" s="51"/>
      <c r="T126" s="51"/>
    </row>
    <row r="127" spans="1:20" s="17" customFormat="1" ht="24.75" customHeight="1" thickBot="1">
      <c r="A127" s="131"/>
      <c r="B127" s="52">
        <v>2</v>
      </c>
      <c r="C127" s="53"/>
      <c r="D127" s="87"/>
      <c r="E127" s="133">
        <f>(IF(F127="y",$F$4,0))+(IF(G127="y",$G$4,0))+(IF(H127="y",$H$4,0))+(IF(I127="y",$I$4,0))+(IF((0&lt;J127)*(J127&lt;=16),J127*5,0))+(IF((0&lt;K127)*(K127&lt;=16),K127*2,0))+(IF(L127="y",$L$4,0))+(IF(M127="y",$M$4,0))+(IF((N127&gt;0)*(N127&lt;=3),N127*15,0))+(IF(O127="y",$O$4,0))+(IF(P127="y",$P$4,0))+(IF(Q127="y",$Q$4,0))+(IF(R127="y",$R$4,0))+(IF(S127="y",$S$4,0))+(IF((T127&gt;0)*(T127&lt;=3),T127*10,0))</f>
        <v>0</v>
      </c>
      <c r="F127" s="51"/>
      <c r="G127" s="51"/>
      <c r="H127" s="51"/>
      <c r="I127" s="51"/>
      <c r="J127" s="51"/>
      <c r="K127" s="51"/>
      <c r="L127" s="51"/>
      <c r="M127" s="51"/>
      <c r="N127" s="51"/>
      <c r="O127" s="51"/>
      <c r="P127" s="51"/>
      <c r="Q127" s="51"/>
      <c r="R127" s="51"/>
      <c r="S127" s="51"/>
      <c r="T127" s="51"/>
    </row>
    <row r="128" ht="42" customHeight="1"/>
    <row r="129" spans="4:15" ht="115.5" customHeight="1" thickBot="1">
      <c r="D129" s="307" t="s">
        <v>136</v>
      </c>
      <c r="E129" s="307"/>
      <c r="F129" s="307"/>
      <c r="G129" s="307"/>
      <c r="H129" s="307"/>
      <c r="I129" s="307"/>
      <c r="J129" s="307"/>
      <c r="K129" s="307"/>
      <c r="L129" s="307"/>
      <c r="M129" s="307"/>
      <c r="N129" s="307"/>
      <c r="O129" s="307"/>
    </row>
    <row r="130" spans="1:22" ht="48" customHeight="1" thickBot="1">
      <c r="A130" s="84"/>
      <c r="B130" s="105" t="s">
        <v>85</v>
      </c>
      <c r="C130" s="106" t="s">
        <v>80</v>
      </c>
      <c r="D130" s="130" t="s">
        <v>51</v>
      </c>
      <c r="E130" s="107" t="s">
        <v>81</v>
      </c>
      <c r="F130" s="108" t="s">
        <v>105</v>
      </c>
      <c r="G130" s="108" t="s">
        <v>106</v>
      </c>
      <c r="H130" s="108" t="s">
        <v>107</v>
      </c>
      <c r="I130" s="109" t="s">
        <v>108</v>
      </c>
      <c r="J130" s="109" t="s">
        <v>112</v>
      </c>
      <c r="K130" s="110" t="s">
        <v>113</v>
      </c>
      <c r="M130" s="85"/>
      <c r="N130" s="85"/>
      <c r="O130" s="85"/>
      <c r="P130" s="85"/>
      <c r="Q130" s="85"/>
      <c r="R130" s="85"/>
      <c r="S130" s="85"/>
      <c r="T130" s="85"/>
      <c r="U130" s="86"/>
      <c r="V130" s="86"/>
    </row>
    <row r="131" spans="1:22" ht="18.75" customHeight="1">
      <c r="A131" s="84"/>
      <c r="B131" s="115"/>
      <c r="C131" s="116"/>
      <c r="D131" s="117" t="s">
        <v>110</v>
      </c>
      <c r="E131" s="118"/>
      <c r="F131" s="119">
        <f aca="true" t="shared" si="0" ref="F131:K131">MAX(F134:F153)</f>
        <v>0</v>
      </c>
      <c r="G131" s="119">
        <f t="shared" si="0"/>
        <v>0</v>
      </c>
      <c r="H131" s="119">
        <f t="shared" si="0"/>
        <v>0</v>
      </c>
      <c r="I131" s="119">
        <f t="shared" si="0"/>
        <v>0</v>
      </c>
      <c r="J131" s="119">
        <f t="shared" si="0"/>
        <v>0</v>
      </c>
      <c r="K131" s="120">
        <f t="shared" si="0"/>
        <v>0</v>
      </c>
      <c r="L131" s="85"/>
      <c r="M131" s="85"/>
      <c r="N131" s="85"/>
      <c r="O131" s="85"/>
      <c r="P131" s="85"/>
      <c r="Q131" s="85"/>
      <c r="R131" s="85"/>
      <c r="S131" s="85"/>
      <c r="T131" s="85"/>
      <c r="U131" s="86"/>
      <c r="V131" s="86"/>
    </row>
    <row r="132" spans="1:22" ht="18.75" customHeight="1" thickBot="1">
      <c r="A132" s="84"/>
      <c r="B132" s="121"/>
      <c r="C132" s="99"/>
      <c r="D132" s="122" t="s">
        <v>111</v>
      </c>
      <c r="E132" s="123"/>
      <c r="F132" s="124">
        <f aca="true" t="shared" si="1" ref="F132:K132">LARGE(F134:F153,2)</f>
        <v>0</v>
      </c>
      <c r="G132" s="124">
        <f t="shared" si="1"/>
        <v>0</v>
      </c>
      <c r="H132" s="124">
        <f t="shared" si="1"/>
        <v>0</v>
      </c>
      <c r="I132" s="124">
        <f t="shared" si="1"/>
        <v>0</v>
      </c>
      <c r="J132" s="124">
        <f t="shared" si="1"/>
        <v>0</v>
      </c>
      <c r="K132" s="125">
        <f t="shared" si="1"/>
        <v>0</v>
      </c>
      <c r="L132" s="85"/>
      <c r="M132" s="91"/>
      <c r="N132" s="85"/>
      <c r="O132" s="85"/>
      <c r="P132" s="85"/>
      <c r="Q132" s="85"/>
      <c r="R132" s="85"/>
      <c r="S132" s="85"/>
      <c r="T132" s="85"/>
      <c r="U132" s="86"/>
      <c r="V132" s="86"/>
    </row>
    <row r="133" spans="1:22" ht="18.75" customHeight="1" thickBot="1">
      <c r="A133" s="84"/>
      <c r="B133" s="126"/>
      <c r="C133" s="127"/>
      <c r="D133" s="128"/>
      <c r="E133" s="128"/>
      <c r="F133" s="128"/>
      <c r="G133" s="128"/>
      <c r="H133" s="128"/>
      <c r="I133" s="128"/>
      <c r="J133" s="128"/>
      <c r="K133" s="129"/>
      <c r="L133" s="85"/>
      <c r="M133" s="91"/>
      <c r="N133" s="85"/>
      <c r="O133" s="85"/>
      <c r="P133" s="85"/>
      <c r="Q133" s="85"/>
      <c r="R133" s="85"/>
      <c r="S133" s="85"/>
      <c r="T133" s="85"/>
      <c r="U133" s="86"/>
      <c r="V133" s="86"/>
    </row>
    <row r="134" spans="1:22" ht="27" customHeight="1">
      <c r="A134" s="84"/>
      <c r="B134" s="111">
        <v>1</v>
      </c>
      <c r="C134" s="104">
        <v>2823</v>
      </c>
      <c r="D134" s="137" t="s">
        <v>154</v>
      </c>
      <c r="E134" s="112" t="s">
        <v>100</v>
      </c>
      <c r="F134" s="113">
        <f aca="true" t="array" ref="F134">MAX(IF($D$6:$D$127=$D134,$E$6:$E$127))</f>
        <v>0</v>
      </c>
      <c r="G134" s="113">
        <f aca="true" t="array" ref="G134">SUM(IF($D$6:$D$127=$D134,$E$6:$E$127))</f>
        <v>0</v>
      </c>
      <c r="H134" s="113">
        <f aca="true" t="array" ref="H134">COUNT(IF($D$6:$D$127=$D134,$E$6:$E$127))</f>
        <v>0</v>
      </c>
      <c r="I134" s="113">
        <f>IF(H134&gt;0,G134/H134,0)</f>
        <v>0</v>
      </c>
      <c r="J134" s="113">
        <f aca="true" t="array" ref="J134">IF(ISNA(INDEX($D$6:$E$127,MATCH($D134,$D$6:$D$127,0),2)),0,INDEX($D$6:$E$127,MATCH($D134,$D$6:$D$127,0),2))</f>
        <v>0</v>
      </c>
      <c r="K134" s="114">
        <f>F134-J134</f>
        <v>0</v>
      </c>
      <c r="L134" s="91"/>
      <c r="M134" s="91"/>
      <c r="N134" s="91"/>
      <c r="O134" s="85"/>
      <c r="P134" s="85"/>
      <c r="Q134" s="85"/>
      <c r="R134" s="85"/>
      <c r="S134" s="85"/>
      <c r="T134" s="85"/>
      <c r="U134" s="86"/>
      <c r="V134" s="86"/>
    </row>
    <row r="135" spans="1:22" ht="27" customHeight="1">
      <c r="A135" s="84"/>
      <c r="B135" s="96">
        <f>1+B134</f>
        <v>2</v>
      </c>
      <c r="C135" s="92">
        <v>2294</v>
      </c>
      <c r="D135" s="93" t="s">
        <v>98</v>
      </c>
      <c r="E135" s="94" t="s">
        <v>99</v>
      </c>
      <c r="F135" s="95">
        <f aca="true" t="array" ref="F135">MAX(IF($D$6:$D$127=$D135,$E$6:$E$127))</f>
        <v>0</v>
      </c>
      <c r="G135" s="95">
        <f aca="true" t="array" ref="G135">SUM(IF($D$6:$D$127=$D135,$E$6:$E$127))</f>
        <v>0</v>
      </c>
      <c r="H135" s="95">
        <f aca="true" t="array" ref="H135">COUNT(IF($D$6:$D$127=$D135,$E$6:$E$127))</f>
        <v>0</v>
      </c>
      <c r="I135" s="95">
        <f aca="true" t="shared" si="2" ref="I135:I153">IF(H135&gt;0,G135/H135,0)</f>
        <v>0</v>
      </c>
      <c r="J135" s="95">
        <f aca="true" t="array" ref="J135">IF(ISNA(INDEX($D$6:$E$127,MATCH($D135,$D$6:$D$127,0),2)),0,INDEX($D$6:$E$127,MATCH($D135,$D$6:$D$127,0),2))</f>
        <v>0</v>
      </c>
      <c r="K135" s="97">
        <f aca="true" t="shared" si="3" ref="K135:K153">F135-J135</f>
        <v>0</v>
      </c>
      <c r="L135" s="91"/>
      <c r="M135" s="91"/>
      <c r="N135" s="85"/>
      <c r="O135" s="85"/>
      <c r="P135" s="85"/>
      <c r="Q135" s="85"/>
      <c r="R135" s="85"/>
      <c r="S135" s="85"/>
      <c r="T135" s="85"/>
      <c r="U135" s="86"/>
      <c r="V135" s="86"/>
    </row>
    <row r="136" spans="1:22" ht="27" customHeight="1">
      <c r="A136" s="84"/>
      <c r="B136" s="96">
        <f aca="true" t="shared" si="4" ref="B136:B153">1+B135</f>
        <v>3</v>
      </c>
      <c r="C136" s="92">
        <v>2682</v>
      </c>
      <c r="D136" s="93" t="s">
        <v>141</v>
      </c>
      <c r="E136" s="94" t="s">
        <v>104</v>
      </c>
      <c r="F136" s="95">
        <f aca="true" t="array" ref="F136">MAX(IF($D$6:$D$127=$D136,$E$6:$E$127))</f>
        <v>0</v>
      </c>
      <c r="G136" s="95">
        <f aca="true" t="array" ref="G136">SUM(IF($D$6:$D$127=$D136,$E$6:$E$127))</f>
        <v>0</v>
      </c>
      <c r="H136" s="95">
        <f aca="true" t="array" ref="H136">COUNT(IF($D$6:$D$127=$D136,$E$6:$E$127))</f>
        <v>0</v>
      </c>
      <c r="I136" s="95">
        <f t="shared" si="2"/>
        <v>0</v>
      </c>
      <c r="J136" s="95">
        <f>IF(ISNA(INDEX($D$6:$E$127,MATCH($D136,$D$6:$D$127,0),2)),0,INDEX($D$6:$E$127,MATCH($D136,$D$6:$D$127,0),2))</f>
        <v>0</v>
      </c>
      <c r="K136" s="97">
        <f t="shared" si="3"/>
        <v>0</v>
      </c>
      <c r="L136" s="91"/>
      <c r="M136" s="91"/>
      <c r="N136" s="85"/>
      <c r="O136" s="85"/>
      <c r="P136" s="85"/>
      <c r="Q136" s="85"/>
      <c r="R136" s="85"/>
      <c r="S136" s="85"/>
      <c r="T136" s="85"/>
      <c r="U136" s="86"/>
      <c r="V136" s="86"/>
    </row>
    <row r="137" spans="1:22" ht="27" customHeight="1">
      <c r="A137" s="84"/>
      <c r="B137" s="96">
        <f t="shared" si="4"/>
        <v>4</v>
      </c>
      <c r="C137" s="92">
        <v>1015</v>
      </c>
      <c r="D137" s="93" t="s">
        <v>86</v>
      </c>
      <c r="E137" s="94" t="s">
        <v>87</v>
      </c>
      <c r="F137" s="95">
        <f aca="true" t="array" ref="F137">MAX(IF($D$6:$D$127=$D137,$E$6:$E$127))</f>
        <v>0</v>
      </c>
      <c r="G137" s="95">
        <f aca="true" t="array" ref="G137">SUM(IF($D$6:$D$127=$D137,$E$6:$E$127))</f>
        <v>0</v>
      </c>
      <c r="H137" s="95">
        <f aca="true" t="array" ref="H137">COUNT(IF($D$6:$D$127=$D137,$E$6:$E$127))</f>
        <v>0</v>
      </c>
      <c r="I137" s="95">
        <f t="shared" si="2"/>
        <v>0</v>
      </c>
      <c r="J137" s="95">
        <f aca="true" t="array" ref="J137">IF(ISNA(INDEX($D$6:$E$127,MATCH($D137,$D$6:$D$127,0),2)),0,INDEX($D$6:$E$127,MATCH($D137,$D$6:$D$127,0),2))</f>
        <v>0</v>
      </c>
      <c r="K137" s="97">
        <f t="shared" si="3"/>
        <v>0</v>
      </c>
      <c r="L137" s="91"/>
      <c r="M137" s="91"/>
      <c r="N137" s="85"/>
      <c r="O137" s="85"/>
      <c r="P137" s="85"/>
      <c r="Q137" s="85"/>
      <c r="R137" s="85"/>
      <c r="S137" s="85"/>
      <c r="T137" s="85"/>
      <c r="U137" s="86"/>
      <c r="V137" s="86"/>
    </row>
    <row r="138" spans="1:22" ht="27" customHeight="1">
      <c r="A138" s="84"/>
      <c r="B138" s="96">
        <f t="shared" si="4"/>
        <v>5</v>
      </c>
      <c r="C138" s="92">
        <v>590</v>
      </c>
      <c r="D138" s="93" t="s">
        <v>82</v>
      </c>
      <c r="E138" s="94" t="s">
        <v>67</v>
      </c>
      <c r="F138" s="95">
        <f aca="true" t="array" ref="F138">MAX(IF($D$6:$D$127=$D138,$E$6:$E$127))</f>
        <v>0</v>
      </c>
      <c r="G138" s="95">
        <f aca="true" t="array" ref="G138">SUM(IF($D$6:$D$127=$D138,$E$6:$E$127))</f>
        <v>0</v>
      </c>
      <c r="H138" s="95">
        <f aca="true" t="array" ref="H138">COUNT(IF($D$6:$D$127=$D138,$E$6:$E$127))</f>
        <v>0</v>
      </c>
      <c r="I138" s="95">
        <f t="shared" si="2"/>
        <v>0</v>
      </c>
      <c r="J138" s="95">
        <f aca="true" t="array" ref="J138">IF(ISNA(INDEX($D$6:$E$127,MATCH($D138,$D$6:$D$127,0),2)),0,INDEX($D$6:$E$127,MATCH($D138,$D$6:$D$127,0),2))</f>
        <v>0</v>
      </c>
      <c r="K138" s="97">
        <f t="shared" si="3"/>
        <v>0</v>
      </c>
      <c r="L138" s="91"/>
      <c r="M138" s="85"/>
      <c r="N138" s="85"/>
      <c r="O138" s="85"/>
      <c r="P138" s="85"/>
      <c r="Q138" s="85"/>
      <c r="R138" s="85"/>
      <c r="S138" s="85"/>
      <c r="T138" s="85"/>
      <c r="U138" s="86"/>
      <c r="V138" s="86"/>
    </row>
    <row r="139" spans="1:22" ht="27" customHeight="1">
      <c r="A139" s="84"/>
      <c r="B139" s="96">
        <f t="shared" si="4"/>
        <v>6</v>
      </c>
      <c r="C139" s="92">
        <v>2224</v>
      </c>
      <c r="D139" s="93" t="s">
        <v>96</v>
      </c>
      <c r="E139" s="94" t="s">
        <v>97</v>
      </c>
      <c r="F139" s="95">
        <f aca="true" t="array" ref="F139">MAX(IF($D$6:$D$127=$D139,$E$6:$E$127))</f>
        <v>0</v>
      </c>
      <c r="G139" s="95">
        <f aca="true" t="array" ref="G139">SUM(IF($D$6:$D$127=$D139,$E$6:$E$127))</f>
        <v>0</v>
      </c>
      <c r="H139" s="95">
        <f aca="true" t="array" ref="H139">COUNT(IF($D$6:$D$127=$D139,$E$6:$E$127))</f>
        <v>0</v>
      </c>
      <c r="I139" s="95">
        <f t="shared" si="2"/>
        <v>0</v>
      </c>
      <c r="J139" s="95">
        <f aca="true" t="array" ref="J139">IF(ISNA(INDEX($D$6:$E$127,MATCH($D139,$D$6:$D$127,0),2)),0,INDEX($D$6:$E$127,MATCH($D139,$D$6:$D$127,0),2))</f>
        <v>0</v>
      </c>
      <c r="K139" s="97">
        <f t="shared" si="3"/>
        <v>0</v>
      </c>
      <c r="L139" s="91"/>
      <c r="M139" s="85"/>
      <c r="N139" s="85"/>
      <c r="O139" s="85"/>
      <c r="P139" s="85"/>
      <c r="Q139" s="85"/>
      <c r="R139" s="85"/>
      <c r="S139" s="85"/>
      <c r="T139" s="85"/>
      <c r="U139" s="86"/>
      <c r="V139" s="86"/>
    </row>
    <row r="140" spans="1:22" ht="27" customHeight="1">
      <c r="A140" s="84"/>
      <c r="B140" s="96">
        <f t="shared" si="4"/>
        <v>7</v>
      </c>
      <c r="C140" s="92">
        <v>122</v>
      </c>
      <c r="D140" s="93" t="s">
        <v>150</v>
      </c>
      <c r="E140" s="94" t="s">
        <v>90</v>
      </c>
      <c r="F140" s="95">
        <f aca="true" t="array" ref="F140">MAX(IF($D$6:$D$127=$D140,$E$6:$E$127))</f>
        <v>0</v>
      </c>
      <c r="G140" s="95">
        <f aca="true" t="array" ref="G140">SUM(IF($D$6:$D$127=$D140,$E$6:$E$127))</f>
        <v>0</v>
      </c>
      <c r="H140" s="95">
        <f aca="true" t="array" ref="H140">COUNT(IF($D$6:$D$127=$D140,$E$6:$E$127))</f>
        <v>0</v>
      </c>
      <c r="I140" s="95">
        <f t="shared" si="2"/>
        <v>0</v>
      </c>
      <c r="J140" s="95">
        <f aca="true" t="array" ref="J140">IF(ISNA(INDEX($D$6:$E$127,MATCH($D140,$D$6:$D$127,0),2)),0,INDEX($D$6:$E$127,MATCH($D140,$D$6:$D$127,0),2))</f>
        <v>0</v>
      </c>
      <c r="K140" s="97">
        <f t="shared" si="3"/>
        <v>0</v>
      </c>
      <c r="L140" s="91"/>
      <c r="M140" s="85"/>
      <c r="N140" s="85"/>
      <c r="O140" s="85"/>
      <c r="P140" s="85"/>
      <c r="Q140" s="85"/>
      <c r="R140" s="85"/>
      <c r="S140" s="85"/>
      <c r="T140" s="85"/>
      <c r="U140" s="86"/>
      <c r="V140" s="86"/>
    </row>
    <row r="141" spans="1:22" ht="27" customHeight="1">
      <c r="A141" s="84"/>
      <c r="B141" s="96">
        <f t="shared" si="4"/>
        <v>8</v>
      </c>
      <c r="C141" s="92">
        <v>2824</v>
      </c>
      <c r="D141" s="136" t="s">
        <v>157</v>
      </c>
      <c r="E141" s="94" t="s">
        <v>102</v>
      </c>
      <c r="F141" s="95">
        <f aca="true" t="array" ref="F141">MAX(IF($D$6:$D$127=$D141,$E$6:$E$127))</f>
        <v>0</v>
      </c>
      <c r="G141" s="95">
        <f aca="true" t="array" ref="G141">SUM(IF($D$6:$D$127=$D141,$E$6:$E$127))</f>
        <v>0</v>
      </c>
      <c r="H141" s="95">
        <f aca="true" t="array" ref="H141">COUNT(IF($D$6:$D$127=$D141,$E$6:$E$127))</f>
        <v>0</v>
      </c>
      <c r="I141" s="95">
        <f t="shared" si="2"/>
        <v>0</v>
      </c>
      <c r="J141" s="95">
        <f aca="true" t="array" ref="J141">IF(ISNA(INDEX($D$6:$E$127,MATCH($D141,$D$6:$D$127,0),2)),0,INDEX($D$6:$E$127,MATCH($D141,$D$6:$D$127,0),2))</f>
        <v>0</v>
      </c>
      <c r="K141" s="97">
        <f t="shared" si="3"/>
        <v>0</v>
      </c>
      <c r="L141" s="85"/>
      <c r="M141" s="85"/>
      <c r="N141" s="85"/>
      <c r="O141" s="85"/>
      <c r="P141" s="85"/>
      <c r="Q141" s="85"/>
      <c r="R141" s="85"/>
      <c r="S141" s="85"/>
      <c r="T141" s="85"/>
      <c r="U141" s="86"/>
      <c r="V141" s="86"/>
    </row>
    <row r="142" spans="1:22" ht="27" customHeight="1">
      <c r="A142" s="84"/>
      <c r="B142" s="96">
        <f t="shared" si="4"/>
        <v>9</v>
      </c>
      <c r="C142" s="92">
        <v>3562</v>
      </c>
      <c r="D142" s="136" t="s">
        <v>158</v>
      </c>
      <c r="E142" s="94" t="s">
        <v>102</v>
      </c>
      <c r="F142" s="95">
        <f aca="true" t="array" ref="F142">MAX(IF($D$6:$D$127=$D142,$E$6:$E$127))</f>
        <v>0</v>
      </c>
      <c r="G142" s="95">
        <f aca="true" t="array" ref="G142">SUM(IF($D$6:$D$127=$D142,$E$6:$E$127))</f>
        <v>0</v>
      </c>
      <c r="H142" s="95">
        <f aca="true" t="array" ref="H142">COUNT(IF($D$6:$D$127=$D142,$E$6:$E$127))</f>
        <v>0</v>
      </c>
      <c r="I142" s="95">
        <f t="shared" si="2"/>
        <v>0</v>
      </c>
      <c r="J142" s="95">
        <f aca="true" t="array" ref="J142">IF(ISNA(INDEX($D$6:$E$127,MATCH($D142,$D$6:$D$127,0),2)),0,INDEX($D$6:$E$127,MATCH($D142,$D$6:$D$127,0),2))</f>
        <v>0</v>
      </c>
      <c r="K142" s="97">
        <f t="shared" si="3"/>
        <v>0</v>
      </c>
      <c r="L142" s="85"/>
      <c r="M142" s="85"/>
      <c r="N142" s="85"/>
      <c r="O142" s="85"/>
      <c r="P142" s="85"/>
      <c r="Q142" s="85"/>
      <c r="R142" s="85"/>
      <c r="S142" s="85"/>
      <c r="T142" s="85"/>
      <c r="U142" s="86"/>
      <c r="V142" s="86"/>
    </row>
    <row r="143" spans="1:22" ht="27" customHeight="1">
      <c r="A143" s="84"/>
      <c r="B143" s="96">
        <f t="shared" si="4"/>
        <v>10</v>
      </c>
      <c r="C143" s="92">
        <v>2036</v>
      </c>
      <c r="D143" s="93" t="s">
        <v>148</v>
      </c>
      <c r="E143" s="94" t="s">
        <v>91</v>
      </c>
      <c r="F143" s="95">
        <f aca="true" t="array" ref="F143">MAX(IF($D$6:$D$127=$D143,$E$6:$E$127))</f>
        <v>0</v>
      </c>
      <c r="G143" s="95">
        <f aca="true" t="array" ref="G143">SUM(IF($D$6:$D$127=$D143,$E$6:$E$127))</f>
        <v>0</v>
      </c>
      <c r="H143" s="95">
        <f aca="true" t="array" ref="H143">COUNT(IF($D$6:$D$127=$D143,$E$6:$E$127))</f>
        <v>0</v>
      </c>
      <c r="I143" s="95">
        <f t="shared" si="2"/>
        <v>0</v>
      </c>
      <c r="J143" s="95">
        <f aca="true" t="array" ref="J143">IF(ISNA(INDEX($D$6:$E$127,MATCH($D143,$D$6:$D$127,0),2)),0,INDEX($D$6:$E$127,MATCH($D143,$D$6:$D$127,0),2))</f>
        <v>0</v>
      </c>
      <c r="K143" s="97">
        <f t="shared" si="3"/>
        <v>0</v>
      </c>
      <c r="L143" s="85"/>
      <c r="M143" s="85"/>
      <c r="N143" s="85"/>
      <c r="O143" s="85"/>
      <c r="P143" s="85"/>
      <c r="Q143" s="85"/>
      <c r="R143" s="85"/>
      <c r="S143" s="85"/>
      <c r="T143" s="85"/>
      <c r="U143" s="86"/>
      <c r="V143" s="86"/>
    </row>
    <row r="144" spans="1:22" ht="27" customHeight="1">
      <c r="A144" s="84"/>
      <c r="B144" s="96">
        <f t="shared" si="4"/>
        <v>11</v>
      </c>
      <c r="C144" s="92">
        <v>3497</v>
      </c>
      <c r="D144" s="136" t="s">
        <v>151</v>
      </c>
      <c r="E144" s="94" t="s">
        <v>101</v>
      </c>
      <c r="F144" s="95">
        <f aca="true" t="array" ref="F144">MAX(IF($D$6:$D$127=$D144,$E$6:$E$127))</f>
        <v>0</v>
      </c>
      <c r="G144" s="95">
        <f aca="true" t="array" ref="G144">SUM(IF($D$6:$D$127=$D144,$E$6:$E$127))</f>
        <v>0</v>
      </c>
      <c r="H144" s="95">
        <f aca="true" t="array" ref="H144">COUNT(IF($D$6:$D$127=$D144,$E$6:$E$127))</f>
        <v>0</v>
      </c>
      <c r="I144" s="95">
        <f t="shared" si="2"/>
        <v>0</v>
      </c>
      <c r="J144" s="95">
        <f aca="true" t="array" ref="J144">IF(ISNA(INDEX($D$6:$E$127,MATCH($D144,$D$6:$D$127,0),2)),0,INDEX($D$6:$E$127,MATCH($D144,$D$6:$D$127,0),2))</f>
        <v>0</v>
      </c>
      <c r="K144" s="97">
        <f t="shared" si="3"/>
        <v>0</v>
      </c>
      <c r="L144" s="85"/>
      <c r="M144" s="85"/>
      <c r="N144" s="85"/>
      <c r="O144" s="85"/>
      <c r="P144" s="85"/>
      <c r="Q144" s="85"/>
      <c r="R144" s="85"/>
      <c r="S144" s="85"/>
      <c r="T144" s="85"/>
      <c r="U144" s="86"/>
      <c r="V144" s="86"/>
    </row>
    <row r="145" spans="1:22" ht="27" customHeight="1">
      <c r="A145" s="84"/>
      <c r="B145" s="96">
        <f t="shared" si="4"/>
        <v>12</v>
      </c>
      <c r="C145" s="92">
        <v>2669</v>
      </c>
      <c r="D145" s="136" t="s">
        <v>152</v>
      </c>
      <c r="E145" s="94" t="s">
        <v>103</v>
      </c>
      <c r="F145" s="95">
        <f aca="true" t="array" ref="F145">MAX(IF($D$6:$D$127=$D145,$E$6:$E$127))</f>
        <v>0</v>
      </c>
      <c r="G145" s="95">
        <f aca="true" t="array" ref="G145">SUM(IF($D$6:$D$127=$D145,$E$6:$E$127))</f>
        <v>0</v>
      </c>
      <c r="H145" s="95">
        <f aca="true" t="array" ref="H145">COUNT(IF($D$6:$D$127=$D145,$E$6:$E$127))</f>
        <v>0</v>
      </c>
      <c r="I145" s="95">
        <f t="shared" si="2"/>
        <v>0</v>
      </c>
      <c r="J145" s="95">
        <f aca="true" t="array" ref="J145">IF(ISNA(INDEX($D$6:$E$127,MATCH($D145,$D$6:$D$127,0),2)),0,INDEX($D$6:$E$127,MATCH($D145,$D$6:$D$127,0),2))</f>
        <v>0</v>
      </c>
      <c r="K145" s="97">
        <f t="shared" si="3"/>
        <v>0</v>
      </c>
      <c r="L145" s="85"/>
      <c r="M145" s="85"/>
      <c r="N145" s="85"/>
      <c r="O145" s="85"/>
      <c r="P145" s="85"/>
      <c r="Q145" s="85"/>
      <c r="R145" s="85"/>
      <c r="S145" s="85"/>
      <c r="T145" s="85"/>
      <c r="U145" s="86"/>
      <c r="V145" s="86"/>
    </row>
    <row r="146" spans="1:22" ht="27" customHeight="1">
      <c r="A146" s="84"/>
      <c r="B146" s="96">
        <f t="shared" si="4"/>
        <v>13</v>
      </c>
      <c r="C146" s="92">
        <v>2616</v>
      </c>
      <c r="D146" s="93" t="s">
        <v>88</v>
      </c>
      <c r="E146" s="94" t="s">
        <v>89</v>
      </c>
      <c r="F146" s="95">
        <f aca="true" t="array" ref="F146">MAX(IF($D$6:$D$127=$D146,$E$6:$E$127))</f>
        <v>0</v>
      </c>
      <c r="G146" s="95">
        <f aca="true" t="array" ref="G146">SUM(IF($D$6:$D$127=$D146,$E$6:$E$127))</f>
        <v>0</v>
      </c>
      <c r="H146" s="95">
        <f aca="true" t="array" ref="H146">COUNT(IF($D$6:$D$127=$D146,$E$6:$E$127))</f>
        <v>0</v>
      </c>
      <c r="I146" s="95">
        <f t="shared" si="2"/>
        <v>0</v>
      </c>
      <c r="J146" s="95">
        <f aca="true" t="array" ref="J146">IF(ISNA(INDEX($D$6:$E$127,MATCH($D146,$D$6:$D$127,0),2)),0,INDEX($D$6:$E$127,MATCH($D146,$D$6:$D$127,0),2))</f>
        <v>0</v>
      </c>
      <c r="K146" s="97">
        <f t="shared" si="3"/>
        <v>0</v>
      </c>
      <c r="L146" s="85"/>
      <c r="M146" s="85"/>
      <c r="N146" s="85"/>
      <c r="O146" s="85"/>
      <c r="P146" s="85"/>
      <c r="Q146" s="85"/>
      <c r="R146" s="85"/>
      <c r="S146" s="85"/>
      <c r="T146" s="85"/>
      <c r="U146" s="86"/>
      <c r="V146" s="86"/>
    </row>
    <row r="147" spans="1:22" ht="27" customHeight="1">
      <c r="A147" s="84"/>
      <c r="B147" s="96">
        <f t="shared" si="4"/>
        <v>14</v>
      </c>
      <c r="C147" s="92">
        <v>2764</v>
      </c>
      <c r="D147" s="136" t="s">
        <v>155</v>
      </c>
      <c r="E147" s="94" t="s">
        <v>95</v>
      </c>
      <c r="F147" s="95">
        <f aca="true" t="array" ref="F147">MAX(IF($D$6:$D$127=$D147,$E$6:$E$127))</f>
        <v>0</v>
      </c>
      <c r="G147" s="95">
        <f aca="true" t="array" ref="G147">SUM(IF($D$6:$D$127=$D147,$E$6:$E$127))</f>
        <v>0</v>
      </c>
      <c r="H147" s="95">
        <f aca="true" t="array" ref="H147">COUNT(IF($D$6:$D$127=$D147,$E$6:$E$127))</f>
        <v>0</v>
      </c>
      <c r="I147" s="95">
        <f t="shared" si="2"/>
        <v>0</v>
      </c>
      <c r="J147" s="95">
        <f aca="true" t="array" ref="J147">IF(ISNA(INDEX($D$6:$E$127,MATCH($D147,$D$6:$D$127,0),2)),0,INDEX($D$6:$E$127,MATCH($D147,$D$6:$D$127,0),2))</f>
        <v>0</v>
      </c>
      <c r="K147" s="97">
        <f t="shared" si="3"/>
        <v>0</v>
      </c>
      <c r="L147" s="85"/>
      <c r="M147" s="85"/>
      <c r="N147" s="85"/>
      <c r="O147" s="85"/>
      <c r="P147" s="85"/>
      <c r="Q147" s="85"/>
      <c r="R147" s="85"/>
      <c r="S147" s="85"/>
      <c r="T147" s="85"/>
      <c r="U147" s="86"/>
      <c r="V147" s="86"/>
    </row>
    <row r="148" spans="1:22" ht="27" customHeight="1">
      <c r="A148" s="84"/>
      <c r="B148" s="96">
        <f t="shared" si="4"/>
        <v>15</v>
      </c>
      <c r="C148" s="92">
        <v>592</v>
      </c>
      <c r="D148" s="93" t="s">
        <v>92</v>
      </c>
      <c r="E148" s="94" t="s">
        <v>93</v>
      </c>
      <c r="F148" s="95">
        <f aca="true" t="array" ref="F148">MAX(IF($D$6:$D$127=$D148,$E$6:$E$127))</f>
        <v>0</v>
      </c>
      <c r="G148" s="95">
        <f aca="true" t="array" ref="G148">SUM(IF($D$6:$D$127=$D148,$E$6:$E$127))</f>
        <v>0</v>
      </c>
      <c r="H148" s="95">
        <f aca="true" t="array" ref="H148">COUNT(IF($D$6:$D$127=$D148,$E$6:$E$127))</f>
        <v>0</v>
      </c>
      <c r="I148" s="95">
        <f t="shared" si="2"/>
        <v>0</v>
      </c>
      <c r="J148" s="95">
        <f aca="true" t="array" ref="J148">IF(ISNA(INDEX($D$6:$E$127,MATCH($D148,$D$6:$D$127,0),2)),0,INDEX($D$6:$E$127,MATCH($D148,$D$6:$D$127,0),2))</f>
        <v>0</v>
      </c>
      <c r="K148" s="97">
        <f t="shared" si="3"/>
        <v>0</v>
      </c>
      <c r="L148" s="85"/>
      <c r="M148" s="85"/>
      <c r="N148" s="85"/>
      <c r="O148" s="85"/>
      <c r="P148" s="85"/>
      <c r="Q148" s="85"/>
      <c r="R148" s="85"/>
      <c r="S148" s="85"/>
      <c r="T148" s="85"/>
      <c r="U148" s="86"/>
      <c r="V148" s="86"/>
    </row>
    <row r="149" spans="1:22" ht="27" customHeight="1">
      <c r="A149" s="84"/>
      <c r="B149" s="96">
        <f t="shared" si="4"/>
        <v>16</v>
      </c>
      <c r="C149" s="92">
        <v>2546</v>
      </c>
      <c r="D149" s="136" t="s">
        <v>153</v>
      </c>
      <c r="E149" s="94" t="s">
        <v>94</v>
      </c>
      <c r="F149" s="95">
        <f aca="true" t="array" ref="F149">MAX(IF($D$6:$D$127=$D149,$E$6:$E$127))</f>
        <v>0</v>
      </c>
      <c r="G149" s="95">
        <f aca="true" t="array" ref="G149">SUM(IF($D$6:$D$127=$D149,$E$6:$E$127))</f>
        <v>0</v>
      </c>
      <c r="H149" s="95">
        <f aca="true" t="array" ref="H149">COUNT(IF($D$6:$D$127=$D149,$E$6:$E$127))</f>
        <v>0</v>
      </c>
      <c r="I149" s="95">
        <f t="shared" si="2"/>
        <v>0</v>
      </c>
      <c r="J149" s="95">
        <f aca="true" t="array" ref="J149">IF(ISNA(INDEX($D$6:$E$127,MATCH($D149,$D$6:$D$127,0),2)),0,INDEX($D$6:$E$127,MATCH($D149,$D$6:$D$127,0),2))</f>
        <v>0</v>
      </c>
      <c r="K149" s="97">
        <f t="shared" si="3"/>
        <v>0</v>
      </c>
      <c r="L149" s="85"/>
      <c r="M149" s="85"/>
      <c r="N149" s="85"/>
      <c r="O149" s="85"/>
      <c r="P149" s="85"/>
      <c r="Q149" s="85"/>
      <c r="R149" s="85"/>
      <c r="S149" s="85"/>
      <c r="T149" s="85"/>
      <c r="U149" s="86"/>
      <c r="V149" s="86"/>
    </row>
    <row r="150" spans="1:22" ht="27" customHeight="1">
      <c r="A150" s="84"/>
      <c r="B150" s="96">
        <f t="shared" si="4"/>
        <v>17</v>
      </c>
      <c r="C150" s="92">
        <v>591</v>
      </c>
      <c r="D150" s="93" t="s">
        <v>83</v>
      </c>
      <c r="E150" s="94" t="s">
        <v>84</v>
      </c>
      <c r="F150" s="95">
        <f aca="true" t="array" ref="F150">MAX(IF($D$6:$D$127=$D150,$E$6:$E$127))</f>
        <v>0</v>
      </c>
      <c r="G150" s="95">
        <f aca="true" t="array" ref="G150">SUM(IF($D$6:$D$127=$D150,$E$6:$E$127))</f>
        <v>0</v>
      </c>
      <c r="H150" s="95">
        <f aca="true" t="array" ref="H150">COUNT(IF($D$6:$D$127=$D150,$E$6:$E$127))</f>
        <v>0</v>
      </c>
      <c r="I150" s="95">
        <f t="shared" si="2"/>
        <v>0</v>
      </c>
      <c r="J150" s="95">
        <f aca="true" t="array" ref="J150">IF(ISNA(INDEX($D$6:$E$127,MATCH($D150,$D$6:$D$127,0),2)),0,INDEX($D$6:$E$127,MATCH($D150,$D$6:$D$127,0),2))</f>
        <v>0</v>
      </c>
      <c r="K150" s="97">
        <f t="shared" si="3"/>
        <v>0</v>
      </c>
      <c r="L150" s="85"/>
      <c r="M150" s="85"/>
      <c r="N150" s="85"/>
      <c r="O150" s="85"/>
      <c r="P150" s="85"/>
      <c r="Q150" s="85"/>
      <c r="R150" s="85"/>
      <c r="S150" s="85"/>
      <c r="T150" s="85"/>
      <c r="U150" s="86"/>
      <c r="V150" s="86"/>
    </row>
    <row r="151" spans="1:22" ht="27" customHeight="1">
      <c r="A151" s="84"/>
      <c r="B151" s="96">
        <f t="shared" si="4"/>
        <v>18</v>
      </c>
      <c r="C151" s="92"/>
      <c r="D151" s="93" t="s">
        <v>117</v>
      </c>
      <c r="E151" s="94"/>
      <c r="F151" s="95">
        <f aca="true" t="array" ref="F151">MAX(IF($D$6:$D$127=$D151,$E$6:$E$127))</f>
        <v>0</v>
      </c>
      <c r="G151" s="95">
        <f aca="true" t="array" ref="G151">SUM(IF($D$6:$D$127=$D151,$E$6:$E$127))</f>
        <v>0</v>
      </c>
      <c r="H151" s="95">
        <f aca="true" t="array" ref="H151">COUNT(IF($D$6:$D$127=$D151,$E$6:$E$127))</f>
        <v>0</v>
      </c>
      <c r="I151" s="95">
        <f t="shared" si="2"/>
        <v>0</v>
      </c>
      <c r="J151" s="95">
        <f aca="true" t="array" ref="J151">IF(ISNA(INDEX($D$6:$E$127,MATCH($D151,$D$6:$D$127,0),2)),0,INDEX($D$6:$E$127,MATCH($D151,$D$6:$D$127,0),2))</f>
        <v>0</v>
      </c>
      <c r="K151" s="97">
        <f t="shared" si="3"/>
        <v>0</v>
      </c>
      <c r="L151" s="85"/>
      <c r="M151" s="85"/>
      <c r="N151" s="85"/>
      <c r="O151" s="85"/>
      <c r="P151" s="85"/>
      <c r="Q151" s="85"/>
      <c r="R151" s="85"/>
      <c r="S151" s="85"/>
      <c r="T151" s="85"/>
      <c r="U151" s="86"/>
      <c r="V151" s="86"/>
    </row>
    <row r="152" spans="1:22" ht="27" customHeight="1">
      <c r="A152" s="84"/>
      <c r="B152" s="96">
        <f t="shared" si="4"/>
        <v>19</v>
      </c>
      <c r="C152" s="92"/>
      <c r="D152" s="93" t="s">
        <v>118</v>
      </c>
      <c r="E152" s="94"/>
      <c r="F152" s="95">
        <f aca="true" t="array" ref="F152">MAX(IF($D$6:$D$127=$D152,$E$6:$E$127))</f>
        <v>0</v>
      </c>
      <c r="G152" s="95">
        <f aca="true" t="array" ref="G152">SUM(IF($D$6:$D$127=$D152,$E$6:$E$127))</f>
        <v>0</v>
      </c>
      <c r="H152" s="95">
        <f aca="true" t="array" ref="H152">COUNT(IF($D$6:$D$127=$D152,$E$6:$E$127))</f>
        <v>0</v>
      </c>
      <c r="I152" s="95">
        <f t="shared" si="2"/>
        <v>0</v>
      </c>
      <c r="J152" s="95">
        <f aca="true" t="array" ref="J152">IF(ISNA(INDEX($D$6:$E$127,MATCH($D152,$D$6:$D$127,0),2)),0,INDEX($D$6:$E$127,MATCH($D152,$D$6:$D$127,0),2))</f>
        <v>0</v>
      </c>
      <c r="K152" s="97">
        <f t="shared" si="3"/>
        <v>0</v>
      </c>
      <c r="L152" s="85"/>
      <c r="M152" s="85"/>
      <c r="N152" s="85"/>
      <c r="O152" s="85"/>
      <c r="P152" s="85"/>
      <c r="Q152" s="85"/>
      <c r="R152" s="85"/>
      <c r="S152" s="85"/>
      <c r="T152" s="85"/>
      <c r="U152" s="86"/>
      <c r="V152" s="86"/>
    </row>
    <row r="153" spans="1:22" ht="27" customHeight="1" thickBot="1">
      <c r="A153" s="84"/>
      <c r="B153" s="98">
        <f t="shared" si="4"/>
        <v>20</v>
      </c>
      <c r="C153" s="99"/>
      <c r="D153" s="100" t="s">
        <v>119</v>
      </c>
      <c r="E153" s="101"/>
      <c r="F153" s="102">
        <f aca="true" t="array" ref="F153">MAX(IF($D$6:$D$127=$D153,$E$6:$E$127))</f>
        <v>0</v>
      </c>
      <c r="G153" s="102">
        <f aca="true" t="array" ref="G153">SUM(IF($D$6:$D$127=$D153,$E$6:$E$127))</f>
        <v>0</v>
      </c>
      <c r="H153" s="102">
        <f aca="true" t="array" ref="H153">COUNT(IF($D$6:$D$127=$D153,$E$6:$E$127))</f>
        <v>0</v>
      </c>
      <c r="I153" s="102">
        <f t="shared" si="2"/>
        <v>0</v>
      </c>
      <c r="J153" s="102">
        <f aca="true" t="array" ref="J153">IF(ISNA(INDEX($D$6:$E$127,MATCH($D153,$D$6:$D$127,0),2)),0,INDEX($D$6:$E$127,MATCH($D153,$D$6:$D$127,0),2))</f>
        <v>0</v>
      </c>
      <c r="K153" s="103">
        <f t="shared" si="3"/>
        <v>0</v>
      </c>
      <c r="L153" s="85"/>
      <c r="M153" s="85"/>
      <c r="N153" s="85"/>
      <c r="O153" s="85"/>
      <c r="P153" s="85"/>
      <c r="Q153" s="85"/>
      <c r="R153" s="85"/>
      <c r="S153" s="85"/>
      <c r="T153" s="85"/>
      <c r="U153" s="86"/>
      <c r="V153" s="86"/>
    </row>
    <row r="154" spans="1:22" ht="27" customHeight="1">
      <c r="A154" s="84"/>
      <c r="B154" s="84"/>
      <c r="C154" s="85"/>
      <c r="D154" s="89"/>
      <c r="E154" s="90"/>
      <c r="K154" s="85"/>
      <c r="L154" s="85"/>
      <c r="M154" s="85"/>
      <c r="N154" s="85"/>
      <c r="O154" s="85"/>
      <c r="P154" s="85"/>
      <c r="Q154" s="85"/>
      <c r="R154" s="85"/>
      <c r="S154" s="85"/>
      <c r="T154" s="85"/>
      <c r="U154" s="86"/>
      <c r="V154" s="86"/>
    </row>
    <row r="155" spans="1:22" ht="18.75" customHeight="1">
      <c r="A155" s="84"/>
      <c r="B155" s="85"/>
      <c r="C155" s="85"/>
      <c r="D155" s="84"/>
      <c r="E155" s="85"/>
      <c r="F155" s="85"/>
      <c r="G155" s="85"/>
      <c r="H155" s="85"/>
      <c r="I155" s="85"/>
      <c r="J155" s="85"/>
      <c r="K155" s="85"/>
      <c r="L155" s="85"/>
      <c r="M155" s="85"/>
      <c r="N155" s="85"/>
      <c r="O155" s="85"/>
      <c r="P155" s="85"/>
      <c r="Q155" s="85"/>
      <c r="R155" s="85"/>
      <c r="S155" s="85"/>
      <c r="T155" s="85"/>
      <c r="U155" s="86"/>
      <c r="V155" s="86"/>
    </row>
    <row r="156" spans="1:22" ht="18.75" customHeight="1">
      <c r="A156" s="84"/>
      <c r="B156" s="85"/>
      <c r="C156" s="85" t="s">
        <v>109</v>
      </c>
      <c r="D156" s="306" t="s">
        <v>121</v>
      </c>
      <c r="E156" s="306"/>
      <c r="F156" s="306"/>
      <c r="G156" s="306"/>
      <c r="H156" s="306"/>
      <c r="I156" s="306"/>
      <c r="J156" s="306"/>
      <c r="K156" s="306"/>
      <c r="L156" s="306"/>
      <c r="M156" s="306"/>
      <c r="N156" s="306"/>
      <c r="O156" s="306"/>
      <c r="P156" s="85"/>
      <c r="Q156" s="85"/>
      <c r="R156" s="85"/>
      <c r="S156" s="85"/>
      <c r="T156" s="85"/>
      <c r="U156" s="86"/>
      <c r="V156" s="86"/>
    </row>
    <row r="157" spans="1:22" ht="18.75" customHeight="1">
      <c r="A157" s="84"/>
      <c r="B157" s="85"/>
      <c r="C157" s="85"/>
      <c r="D157" s="306" t="s">
        <v>122</v>
      </c>
      <c r="E157" s="306"/>
      <c r="F157" s="306"/>
      <c r="G157" s="306"/>
      <c r="H157" s="306"/>
      <c r="I157" s="306"/>
      <c r="J157" s="306"/>
      <c r="K157" s="306"/>
      <c r="L157" s="306"/>
      <c r="M157" s="306"/>
      <c r="N157" s="306"/>
      <c r="O157" s="306"/>
      <c r="P157" s="85"/>
      <c r="Q157" s="85"/>
      <c r="R157" s="85"/>
      <c r="S157" s="85"/>
      <c r="T157" s="85"/>
      <c r="U157" s="86"/>
      <c r="V157" s="86"/>
    </row>
    <row r="158" ht="18.75" customHeight="1">
      <c r="D158" s="88" t="s">
        <v>120</v>
      </c>
    </row>
    <row r="159" ht="18.75" customHeight="1"/>
    <row r="160" ht="18.75" customHeight="1"/>
    <row r="161" ht="18.75" customHeight="1"/>
  </sheetData>
  <mergeCells count="213">
    <mergeCell ref="D156:O156"/>
    <mergeCell ref="O116:P116"/>
    <mergeCell ref="R122:S122"/>
    <mergeCell ref="G125:H125"/>
    <mergeCell ref="I125:K125"/>
    <mergeCell ref="L125:M125"/>
    <mergeCell ref="O125:P125"/>
    <mergeCell ref="R125:S125"/>
    <mergeCell ref="G122:H122"/>
    <mergeCell ref="I122:K122"/>
    <mergeCell ref="L122:M122"/>
    <mergeCell ref="O98:P98"/>
    <mergeCell ref="R116:S116"/>
    <mergeCell ref="R119:S119"/>
    <mergeCell ref="R98:S98"/>
    <mergeCell ref="R110:S110"/>
    <mergeCell ref="L98:M98"/>
    <mergeCell ref="O122:P122"/>
    <mergeCell ref="R101:S101"/>
    <mergeCell ref="R104:S104"/>
    <mergeCell ref="G119:H119"/>
    <mergeCell ref="I119:K119"/>
    <mergeCell ref="L119:M119"/>
    <mergeCell ref="O119:P119"/>
    <mergeCell ref="I110:K110"/>
    <mergeCell ref="L110:M110"/>
    <mergeCell ref="O110:P110"/>
    <mergeCell ref="G98:H98"/>
    <mergeCell ref="I98:K98"/>
    <mergeCell ref="G101:H101"/>
    <mergeCell ref="I101:K101"/>
    <mergeCell ref="L101:M101"/>
    <mergeCell ref="O101:P101"/>
    <mergeCell ref="G104:H104"/>
    <mergeCell ref="R92:S92"/>
    <mergeCell ref="G95:H95"/>
    <mergeCell ref="I95:K95"/>
    <mergeCell ref="L95:M95"/>
    <mergeCell ref="O95:P95"/>
    <mergeCell ref="R95:S95"/>
    <mergeCell ref="G92:H92"/>
    <mergeCell ref="I92:K92"/>
    <mergeCell ref="L92:M92"/>
    <mergeCell ref="O92:P92"/>
    <mergeCell ref="R86:S86"/>
    <mergeCell ref="G89:H89"/>
    <mergeCell ref="I89:K89"/>
    <mergeCell ref="L89:M89"/>
    <mergeCell ref="O89:P89"/>
    <mergeCell ref="R89:S89"/>
    <mergeCell ref="G86:H86"/>
    <mergeCell ref="I86:K86"/>
    <mergeCell ref="L86:M86"/>
    <mergeCell ref="O86:P86"/>
    <mergeCell ref="R80:S80"/>
    <mergeCell ref="G83:H83"/>
    <mergeCell ref="I83:K83"/>
    <mergeCell ref="L83:M83"/>
    <mergeCell ref="O83:P83"/>
    <mergeCell ref="R83:S83"/>
    <mergeCell ref="G80:H80"/>
    <mergeCell ref="I80:K80"/>
    <mergeCell ref="L80:M80"/>
    <mergeCell ref="O80:P80"/>
    <mergeCell ref="R74:S74"/>
    <mergeCell ref="G77:H77"/>
    <mergeCell ref="I77:K77"/>
    <mergeCell ref="L77:M77"/>
    <mergeCell ref="O77:P77"/>
    <mergeCell ref="R77:S77"/>
    <mergeCell ref="G74:H74"/>
    <mergeCell ref="I74:K74"/>
    <mergeCell ref="L74:M74"/>
    <mergeCell ref="O74:P74"/>
    <mergeCell ref="R68:S68"/>
    <mergeCell ref="G71:H71"/>
    <mergeCell ref="I71:K71"/>
    <mergeCell ref="L71:M71"/>
    <mergeCell ref="O71:P71"/>
    <mergeCell ref="R71:S71"/>
    <mergeCell ref="G68:H68"/>
    <mergeCell ref="I68:K68"/>
    <mergeCell ref="L68:M68"/>
    <mergeCell ref="O68:P68"/>
    <mergeCell ref="R62:S62"/>
    <mergeCell ref="G65:H65"/>
    <mergeCell ref="I65:K65"/>
    <mergeCell ref="L65:M65"/>
    <mergeCell ref="O65:P65"/>
    <mergeCell ref="R65:S65"/>
    <mergeCell ref="G62:H62"/>
    <mergeCell ref="I62:K62"/>
    <mergeCell ref="L62:M62"/>
    <mergeCell ref="O62:P62"/>
    <mergeCell ref="R56:S56"/>
    <mergeCell ref="G59:H59"/>
    <mergeCell ref="I59:K59"/>
    <mergeCell ref="L59:M59"/>
    <mergeCell ref="O59:P59"/>
    <mergeCell ref="R59:S59"/>
    <mergeCell ref="G56:H56"/>
    <mergeCell ref="I56:K56"/>
    <mergeCell ref="L56:M56"/>
    <mergeCell ref="O56:P56"/>
    <mergeCell ref="R50:S50"/>
    <mergeCell ref="G53:H53"/>
    <mergeCell ref="I53:K53"/>
    <mergeCell ref="L53:M53"/>
    <mergeCell ref="O53:P53"/>
    <mergeCell ref="R53:S53"/>
    <mergeCell ref="G50:H50"/>
    <mergeCell ref="I50:K50"/>
    <mergeCell ref="L50:M50"/>
    <mergeCell ref="O50:P50"/>
    <mergeCell ref="R44:S44"/>
    <mergeCell ref="G47:H47"/>
    <mergeCell ref="I47:K47"/>
    <mergeCell ref="L47:M47"/>
    <mergeCell ref="O47:P47"/>
    <mergeCell ref="R47:S47"/>
    <mergeCell ref="G44:H44"/>
    <mergeCell ref="I44:K44"/>
    <mergeCell ref="L44:M44"/>
    <mergeCell ref="O44:P44"/>
    <mergeCell ref="R38:S38"/>
    <mergeCell ref="G41:H41"/>
    <mergeCell ref="I41:K41"/>
    <mergeCell ref="L41:M41"/>
    <mergeCell ref="O41:P41"/>
    <mergeCell ref="R41:S41"/>
    <mergeCell ref="G38:H38"/>
    <mergeCell ref="I38:K38"/>
    <mergeCell ref="L38:M38"/>
    <mergeCell ref="O38:P38"/>
    <mergeCell ref="R32:S32"/>
    <mergeCell ref="G35:H35"/>
    <mergeCell ref="I35:K35"/>
    <mergeCell ref="L35:M35"/>
    <mergeCell ref="O35:P35"/>
    <mergeCell ref="R35:S35"/>
    <mergeCell ref="G32:H32"/>
    <mergeCell ref="I32:K32"/>
    <mergeCell ref="L32:M32"/>
    <mergeCell ref="O32:P32"/>
    <mergeCell ref="R26:S26"/>
    <mergeCell ref="G29:H29"/>
    <mergeCell ref="I29:K29"/>
    <mergeCell ref="L29:M29"/>
    <mergeCell ref="O29:P29"/>
    <mergeCell ref="R29:S29"/>
    <mergeCell ref="G26:H26"/>
    <mergeCell ref="I26:K26"/>
    <mergeCell ref="L26:M26"/>
    <mergeCell ref="O26:P26"/>
    <mergeCell ref="R20:S20"/>
    <mergeCell ref="G23:H23"/>
    <mergeCell ref="I23:K23"/>
    <mergeCell ref="L23:M23"/>
    <mergeCell ref="O23:P23"/>
    <mergeCell ref="R23:S23"/>
    <mergeCell ref="G20:H20"/>
    <mergeCell ref="I20:K20"/>
    <mergeCell ref="L20:M20"/>
    <mergeCell ref="O20:P20"/>
    <mergeCell ref="R14:S14"/>
    <mergeCell ref="G17:H17"/>
    <mergeCell ref="I17:K17"/>
    <mergeCell ref="L17:M17"/>
    <mergeCell ref="O17:P17"/>
    <mergeCell ref="R17:S17"/>
    <mergeCell ref="G14:H14"/>
    <mergeCell ref="I14:K14"/>
    <mergeCell ref="L14:M14"/>
    <mergeCell ref="O14:P14"/>
    <mergeCell ref="R8:S8"/>
    <mergeCell ref="G11:H11"/>
    <mergeCell ref="I11:K11"/>
    <mergeCell ref="L11:M11"/>
    <mergeCell ref="O11:P11"/>
    <mergeCell ref="R11:S11"/>
    <mergeCell ref="G8:H8"/>
    <mergeCell ref="I8:K8"/>
    <mergeCell ref="L8:M8"/>
    <mergeCell ref="O8:P8"/>
    <mergeCell ref="R3:S3"/>
    <mergeCell ref="G5:H5"/>
    <mergeCell ref="I5:K5"/>
    <mergeCell ref="L5:M5"/>
    <mergeCell ref="O5:P5"/>
    <mergeCell ref="R5:S5"/>
    <mergeCell ref="G3:H3"/>
    <mergeCell ref="I3:K3"/>
    <mergeCell ref="L3:M3"/>
    <mergeCell ref="O3:P3"/>
    <mergeCell ref="I104:K104"/>
    <mergeCell ref="L104:M104"/>
    <mergeCell ref="O104:P104"/>
    <mergeCell ref="R107:S107"/>
    <mergeCell ref="D157:O157"/>
    <mergeCell ref="G107:H107"/>
    <mergeCell ref="I107:K107"/>
    <mergeCell ref="L107:M107"/>
    <mergeCell ref="O107:P107"/>
    <mergeCell ref="G116:H116"/>
    <mergeCell ref="I116:K116"/>
    <mergeCell ref="L116:M116"/>
    <mergeCell ref="G110:H110"/>
    <mergeCell ref="D129:O129"/>
    <mergeCell ref="R113:S113"/>
    <mergeCell ref="G113:H113"/>
    <mergeCell ref="I113:K113"/>
    <mergeCell ref="L113:M113"/>
    <mergeCell ref="O113:P113"/>
  </mergeCells>
  <conditionalFormatting sqref="F134:K153">
    <cfRule type="cellIs" priority="1" dxfId="0" operator="equal" stopIfTrue="1">
      <formula>F$131</formula>
    </cfRule>
    <cfRule type="cellIs" priority="2" dxfId="1" operator="equal" stopIfTrue="1">
      <formula>F$132</formula>
    </cfRule>
  </conditionalFormatting>
  <conditionalFormatting sqref="J117:K118 J18:K19 J123:K124 J120:K121 T6:T7 J9:K10 J12:K13 J15:K16 J21:K22 J27:K28 J24:K25 J30:K31 J33:K34 J36:K37 J39:K40 J42:K43 J45:K46 J48:K49 J51:K52 J54:K55 J57:K58 J60:K61 J63:K64 J66:K67 J69:K70 J72:K73 J75:K76 J78:K79 J81:K82 J84:K85 J87:K88 J90:K91 J93:K94 J96:K97 T99:T100 T111:T112 N6:N7 J6:K7 T9:T10 N9:N10 T12:T13 N12:N13 T15:T16 N15:N16 T18:T19 N18:N19 T21:T22 N21:N22 T24:T25 N24:N25 T27:T28 N27:N28 T30:T31 N30:N31 T33:T34 N33:N34 T36:T37 N36:N37 T39:T40 N39:N40 T42:T43 N42:N43 T45:T46 N45:N46 T48:T49 N48:N49 T51:T52 N51:N52 T54:T55 N54:N55 T57:T58 N57:N58 T60:T61 N60:N61 T63:T64 N63:N64 T66:T67 N66:N67 T69:T70 N69:N70 T72:T73 N72:N73 T75:T76 N75:N76 T78:T79 N78:N79 T81:T82 N81:N82 T84:T85 N84:N85 T87:T88 N87:N88 T90:T91 N90:N91 T93:T94 N93:N94 T96:T97 N96:N97 N99:N100 J126:K127 N111:N112 N108:N109 T117:T118 N117:N118 T120:T121 N120:N121 T123:T124 N123:N124 T126:T127 N126:N127 J99:K100 J105:K106 J108:K109 J102:K103 T102:T103 N102:N103 T105:T106 N105:N106 T108:T109 J111:K112 J114:K115 T114:T115 N114:N115">
    <cfRule type="cellIs" priority="3" dxfId="0" operator="greaterThan" stopIfTrue="1">
      <formula>0</formula>
    </cfRule>
  </conditionalFormatting>
  <conditionalFormatting sqref="O123:S124 O117:S118 F111:I112 F99:I100 O96:S97 O93:S94 O90:S91 O87:S88 O84:S85 O81:S82 O78:S79 O75:S76 O72:S73 O69:S70 O66:S67 O63:S64 O60:S61 O57:S58 O54:S55 O51:S52 O48:S49 O45:S46 O42:S43 O39:S40 O36:S37 O33:S34 O30:S31 O24:S25 O27:S28 O21:S22 O15:S16 O12:S13 O9:S10 F6:I7 O120:S121 O18:S19 L6:M7 O6:S7 F9:I10 L9:M10 F12:I13 L12:M13 F15:I16 L15:M16 F18:I19 L18:M19 F21:I22 L21:M22 F24:I25 L24:M25 F27:I28 L27:M28 F30:I31 L30:M31 F33:I34 L33:M34 F36:I37 L36:M37 F39:I40 L39:M40 F42:I43 L42:M43 F45:I46 L45:M46 F48:I49 L48:M49 F51:I52 L51:M52 F54:I55 L54:M55 F57:I58 L57:M58 F60:I61 L60:M61 F63:I64 L63:M64 F66:I67 L66:M67 F69:I70 L69:M70 F72:I73 L72:M73 F75:I76 L75:M76 F78:I79 L78:M79 F81:I82 L81:M82 F84:I85 L84:M85 F87:I88 L87:M88 F90:I91 L90:M91 F93:I94 L93:M94 F96:I97 L96:M97 L99:M100 O126:S127 L111:M112 L108:M109 F117:I118 L117:M118 F120:I121 L120:M121 F123:I124 L123:M124 F126:I127 L126:M127 O99:S100 O105:S106 O102:S103 O108:S109 F102:I103 L102:M103 F105:I106 L105:M106 F108:I109 O111:S112 O114:S115 F114:I115 L114:M115">
    <cfRule type="cellIs" priority="4" dxfId="0" operator="equal" stopIfTrue="1">
      <formula>"y"</formula>
    </cfRule>
  </conditionalFormatting>
  <conditionalFormatting sqref="E6:E7 E9:E10 E12:E13 E15:E16 E18:E19 E21:E22 E24:E25 E27:E28 E30:E31 E33:E34 E36:E37 E39:E40 E42:E43 E45:E46 E48:E49 E51:E52 E54:E55 E57:E58 E60:E61 E63:E64 E66:E67 E69:E70 E72:E73 E75:E76 E78:E79 E81:E82 E84:E85 E87:E88 E90:E91 E93:E94 E96:E97 E99:E100 E102:E103 E105:E106 E108:E109 E111:E112 E114:E115 E117:E118 E120:E121 E123:E124 E126:E127">
    <cfRule type="cellIs" priority="5" dxfId="2" operator="equal" stopIfTrue="1">
      <formula>0</formula>
    </cfRule>
  </conditionalFormatting>
  <dataValidations count="6">
    <dataValidation type="list" allowBlank="1" showInputMessage="1" showErrorMessage="1" promptTitle="Input" prompt="Y or Leave Blank" error="Value must be Y or leave blank" sqref="F6:I7 O6:S7 F21:I22 L12:M13 O21:S22 F123:I124 L117:M118 O123:S124 F9:I10 L18:M19 O9:S10 F12:I13 L120:M121 O12:S13 F15:I16 L6:M7 O15:S16 F18:I19 L9:M10 O18:S19 F24:I25 L15:M16 O24:S25 F30:I31 L27:M28 O30:S31 F27:I28 L21:M22 O27:S28 F33:I34 L24:M25 O33:S34 F36:I37 L30:M31 O36:S37 F39:I40 L33:M34 O39:S40 F42:I43 L36:M37 O42:S43 F45:I46 L39:M40 O45:S46 F48:I49 L42:M43 O48:S49 F51:I52 L45:M46 O51:S52 F54:I55 L48:M49 O54:S55 F57:I58 L51:M52 O57:S58 F60:I61 L54:M55 O60:S61 F63:I64 L57:M58 O63:S64 F66:I67 L60:M61 O66:S67 F69:I70 L63:M64 O69:S70 F72:I73 L66:M67 O72:S73 F75:I76 L69:M70 O75:S76 F78:I79 L72:M73 O78:S79 F81:I82 L75:M76 O81:S82 F84:I85 L78:M79 O84:S85 F87:I88 L81:M82 O87:S88 F90:I91 L84:M85 O90:S91 F93:I94 L87:M88 O93:S94 F96:I97 L90:M91 O96:S97 O99:S100 L93:M94 L99:M100 O111:S112 L96:M97">
      <formula1>"Y,"</formula1>
    </dataValidation>
    <dataValidation type="list" allowBlank="1" showInputMessage="1" showErrorMessage="1" promptTitle="Input" prompt="Y or Leave Blank" error="Value must be Y or leave blank" sqref="L111:M112 F117:I118 L126:M127 O117:S118 F120:I121 O108:S109 O120:S121 F126:I127 L123:M124 O126:S127 F99:I100 L105:M106 L108:M109 F102:I103 O102:S103 F105:I106 O105:S106 F108:I109 L102:M103 F111:I112 L114:M115 F114:I115 O114:S115">
      <formula1>"Y,"</formula1>
    </dataValidation>
    <dataValidation type="whole" allowBlank="1" showInputMessage="1" showErrorMessage="1" promptTitle="Input" prompt="Input 1 thru 3" error="Value must be 1 thru 3" sqref="T6:T7 T120:T121 T93:T94 N21:N22 T126:T127 N123:N124 T117:T118 N9:N10 N111:N112 N12:N13 N99:N100 N15:N16 T96:T97 N18:N19 T90:T91 N24:N25 T84:T85 N30:N31 T87:T88 N27:N28 T81:T82 N33:N34 T78:T79 N36:N37 T75:T76 N39:N40 T72:T73 N42:N43 T69:T70 N45:N46 T66:T67 N48:N49 T63:T64 N51:N52 T60:T61 N54:N55 T54:T55 N57:N58 T51:T52 T57:T58 T48:T49 N60:N61 T45:T46 N63:N64 T42:T43 N66:N67 T39:T40 N69:N70 T36:T37 N72:N73 T33:T34 N75:N76 T30:T31 N78:N79 T24:T25 N81:N82 T27:T28 N84:N85 T21:T22 N87:N88 T15:T16 N90:N91 T12:T13 N93:N94 T9:T10 N96:N97 N6:N7 N126:N127 N120:N121 N105:N106 T18:T19 N117:N118 T123:T124 T99:T100 T108:T109 T105:T106 T102:T103 N108:N109 N102:N103 T111:T112 T114:T115 N114:N115">
      <formula1>1</formula1>
      <formula2>3</formula2>
    </dataValidation>
    <dataValidation type="whole" allowBlank="1" showInputMessage="1" showErrorMessage="1" promptTitle="Input" prompt="1 thru 16" error="Value must be 1 thru 16" sqref="J123:K124 J120:K121 J6:K7 J9:K10 J12:K13 J15:K16 J18:K19 J21:K22 J27:K28 J24:K25 J30:K31 J33:K34 J36:K37 J39:K40 J42:K43 J45:K46 J48:K49 J51:K52 J54:K55 J57:K58 J60:K61 J63:K64 J66:K67 J69:K70 J72:K73 J75:K76 J78:K79 J81:K82 J84:K85 J87:K88 J90:K91 J93:K94 J96:K97 J126:K127 J105:K106 J117:K118 J99:K100 J108:K109 J102:K103 J111:K112 J114:K115">
      <formula1>1</formula1>
      <formula2>16</formula2>
    </dataValidation>
    <dataValidation type="list" allowBlank="1" showInputMessage="1" showErrorMessage="1" promptTitle="Team Name" prompt="Select one of the teams from this list.  To clear the team name, select the blank entry at the top of the drop down list." errorTitle="Invalid Team Name" error="Select One from the drop down list." sqref="D126:D127 D123:D124 D7 D117:D118 D120 D108:D109 D105:D106 D102:D103 D99:D100 D96:D97 D93:D94 D90:D91 D87:D88 D84:D85 D81:D82 D78:D79 D75:D76 D72:D73 D69:D70 D66:D67 D63:D64 D60:D61 D57:D58 D54:D55 D51:D52 D48:D49 D45:D46 D42:D43 D39:D40 D36:D37 D33:D34 D30:D31 D27:D28 D24:D25 D21:D22 D18:D19 D15:D16 D12:D13 D9:D10 D111:D112 D114:D115">
      <formula1>$D$133:$D$153</formula1>
    </dataValidation>
    <dataValidation type="list" allowBlank="1" showInputMessage="1" showErrorMessage="1" promptTitle="Team Name" prompt="Select one of the teams from this list." errorTitle="Invalid Team Name" error="Select One from the drop down list." sqref="D121">
      <formula1>$D$134:$D$154</formula1>
    </dataValidation>
  </dataValidations>
  <printOptions/>
  <pageMargins left="0.75" right="0.75" top="0.52" bottom="0.5" header="0.5" footer="0.5"/>
  <pageSetup fitToHeight="10" fitToWidth="1" horizontalDpi="300" verticalDpi="300" orientation="landscape" scale="55" r:id="rId3"/>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BL23"/>
  <sheetViews>
    <sheetView zoomScale="70" zoomScaleNormal="70" workbookViewId="0" topLeftCell="A1">
      <selection activeCell="D19" sqref="D19"/>
    </sheetView>
  </sheetViews>
  <sheetFormatPr defaultColWidth="9.140625" defaultRowHeight="12.75"/>
  <cols>
    <col min="1" max="2" width="9.140625" style="55" customWidth="1"/>
    <col min="3" max="3" width="25.8515625" style="56" customWidth="1"/>
    <col min="4" max="4" width="12.421875" style="55" bestFit="1" customWidth="1"/>
    <col min="5" max="6" width="8.421875" style="55" customWidth="1"/>
    <col min="7" max="7" width="8.00390625" style="55" customWidth="1"/>
    <col min="8" max="9" width="8.421875" style="55" customWidth="1"/>
    <col min="10" max="10" width="9.8515625" style="55" customWidth="1"/>
    <col min="11" max="11" width="9.57421875" style="55" customWidth="1"/>
    <col min="12" max="12" width="9.421875" style="55" customWidth="1"/>
    <col min="13" max="13" width="9.28125" style="55" customWidth="1"/>
    <col min="14" max="15" width="8.421875" style="55" customWidth="1"/>
    <col min="16" max="16" width="9.28125" style="55" customWidth="1"/>
    <col min="17" max="20" width="8.421875" style="55" customWidth="1"/>
    <col min="21" max="65" width="9.140625" style="57" customWidth="1"/>
    <col min="66" max="16384" width="9.140625" style="55" customWidth="1"/>
  </cols>
  <sheetData>
    <row r="1" spans="1:19" s="17" customFormat="1" ht="120.75" customHeight="1" thickBot="1">
      <c r="A1" s="20"/>
      <c r="B1" s="21"/>
      <c r="C1" s="21"/>
      <c r="D1" s="22"/>
      <c r="E1" s="23" t="s">
        <v>20</v>
      </c>
      <c r="F1" s="24" t="s">
        <v>21</v>
      </c>
      <c r="G1" s="24" t="s">
        <v>22</v>
      </c>
      <c r="H1" s="25" t="s">
        <v>23</v>
      </c>
      <c r="I1" s="25" t="s">
        <v>24</v>
      </c>
      <c r="J1" s="25" t="s">
        <v>25</v>
      </c>
      <c r="K1" s="26" t="s">
        <v>26</v>
      </c>
      <c r="L1" s="27" t="s">
        <v>27</v>
      </c>
      <c r="M1" s="25" t="s">
        <v>28</v>
      </c>
      <c r="N1" s="77" t="s">
        <v>29</v>
      </c>
      <c r="O1" s="77" t="s">
        <v>30</v>
      </c>
      <c r="P1" s="78" t="s">
        <v>74</v>
      </c>
      <c r="Q1" s="79" t="s">
        <v>31</v>
      </c>
      <c r="R1" s="79" t="s">
        <v>32</v>
      </c>
      <c r="S1" s="25" t="s">
        <v>33</v>
      </c>
    </row>
    <row r="2" spans="3:19" s="17" customFormat="1" ht="21.75" customHeight="1" thickBot="1">
      <c r="C2" s="29"/>
      <c r="D2" s="30" t="s">
        <v>35</v>
      </c>
      <c r="E2" s="31" t="s">
        <v>36</v>
      </c>
      <c r="F2" s="310" t="s">
        <v>37</v>
      </c>
      <c r="G2" s="311"/>
      <c r="H2" s="312" t="s">
        <v>38</v>
      </c>
      <c r="I2" s="313"/>
      <c r="J2" s="314"/>
      <c r="K2" s="315" t="s">
        <v>39</v>
      </c>
      <c r="L2" s="316"/>
      <c r="M2" s="31" t="s">
        <v>40</v>
      </c>
      <c r="N2" s="317" t="s">
        <v>41</v>
      </c>
      <c r="O2" s="318"/>
      <c r="P2" s="31" t="s">
        <v>73</v>
      </c>
      <c r="Q2" s="308" t="s">
        <v>42</v>
      </c>
      <c r="R2" s="309"/>
      <c r="S2" s="31" t="s">
        <v>43</v>
      </c>
    </row>
    <row r="3" spans="1:19" s="17" customFormat="1" ht="23.25" customHeight="1" thickBot="1">
      <c r="A3" s="28" t="s">
        <v>53</v>
      </c>
      <c r="C3" s="33"/>
      <c r="D3" s="34">
        <v>400</v>
      </c>
      <c r="E3" s="35">
        <v>40</v>
      </c>
      <c r="F3" s="35">
        <v>40</v>
      </c>
      <c r="G3" s="35">
        <v>35</v>
      </c>
      <c r="H3" s="36">
        <v>50</v>
      </c>
      <c r="I3" s="36" t="s">
        <v>45</v>
      </c>
      <c r="J3" s="36" t="s">
        <v>46</v>
      </c>
      <c r="K3" s="36">
        <v>45</v>
      </c>
      <c r="L3" s="36">
        <v>40</v>
      </c>
      <c r="M3" s="36" t="s">
        <v>47</v>
      </c>
      <c r="N3" s="36">
        <v>35</v>
      </c>
      <c r="O3" s="36">
        <v>20</v>
      </c>
      <c r="P3" s="36">
        <v>35</v>
      </c>
      <c r="Q3" s="36">
        <v>45</v>
      </c>
      <c r="R3" s="36">
        <v>35</v>
      </c>
      <c r="S3" s="36" t="s">
        <v>75</v>
      </c>
    </row>
    <row r="4" spans="1:19" s="17" customFormat="1" ht="35.25" customHeight="1" thickBot="1">
      <c r="A4" s="32" t="s">
        <v>54</v>
      </c>
      <c r="C4" s="33"/>
      <c r="D4" s="34"/>
      <c r="E4" s="58" t="s">
        <v>55</v>
      </c>
      <c r="F4" s="58" t="s">
        <v>55</v>
      </c>
      <c r="G4" s="58" t="s">
        <v>55</v>
      </c>
      <c r="H4" s="58" t="s">
        <v>55</v>
      </c>
      <c r="I4" s="58" t="s">
        <v>56</v>
      </c>
      <c r="J4" s="58" t="s">
        <v>56</v>
      </c>
      <c r="K4" s="58" t="s">
        <v>55</v>
      </c>
      <c r="L4" s="58" t="s">
        <v>55</v>
      </c>
      <c r="M4" s="58" t="s">
        <v>57</v>
      </c>
      <c r="N4" s="58" t="s">
        <v>55</v>
      </c>
      <c r="O4" s="58" t="s">
        <v>55</v>
      </c>
      <c r="P4" s="58" t="s">
        <v>55</v>
      </c>
      <c r="Q4" s="58" t="s">
        <v>55</v>
      </c>
      <c r="R4" s="58" t="s">
        <v>55</v>
      </c>
      <c r="S4" s="58" t="s">
        <v>57</v>
      </c>
    </row>
    <row r="5" spans="1:64" s="54" customFormat="1" ht="17.25" customHeight="1" thickBot="1">
      <c r="A5" s="39" t="s">
        <v>49</v>
      </c>
      <c r="B5" s="39" t="s">
        <v>50</v>
      </c>
      <c r="C5" s="40" t="s">
        <v>51</v>
      </c>
      <c r="D5" s="59"/>
      <c r="E5" s="60"/>
      <c r="F5" s="60"/>
      <c r="G5" s="60"/>
      <c r="H5" s="60"/>
      <c r="I5" s="60"/>
      <c r="J5" s="60"/>
      <c r="K5" s="60"/>
      <c r="L5" s="60"/>
      <c r="M5" s="60"/>
      <c r="N5" s="60"/>
      <c r="O5" s="60"/>
      <c r="P5" s="60"/>
      <c r="Q5" s="60"/>
      <c r="R5" s="60"/>
      <c r="S5" s="61"/>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row>
    <row r="6" spans="1:19" s="17" customFormat="1" ht="24.75" customHeight="1" thickBot="1">
      <c r="A6" s="62"/>
      <c r="B6" s="62"/>
      <c r="C6" s="63"/>
      <c r="D6" s="64"/>
      <c r="E6" s="65"/>
      <c r="F6" s="65"/>
      <c r="G6" s="65"/>
      <c r="H6" s="65"/>
      <c r="I6" s="65"/>
      <c r="J6" s="65"/>
      <c r="K6" s="65"/>
      <c r="L6" s="65"/>
      <c r="M6" s="65"/>
      <c r="N6" s="65"/>
      <c r="O6" s="65"/>
      <c r="P6" s="65"/>
      <c r="Q6" s="65"/>
      <c r="R6" s="65"/>
      <c r="S6" s="65"/>
    </row>
    <row r="7" spans="1:19" s="17" customFormat="1" ht="24.75" customHeight="1" thickBot="1">
      <c r="A7" s="66"/>
      <c r="B7" s="66"/>
      <c r="C7" s="67"/>
      <c r="D7" s="50"/>
      <c r="E7" s="65"/>
      <c r="F7" s="65"/>
      <c r="G7" s="65"/>
      <c r="H7" s="65"/>
      <c r="I7" s="65"/>
      <c r="J7" s="65"/>
      <c r="K7" s="65"/>
      <c r="L7" s="65"/>
      <c r="M7" s="65"/>
      <c r="N7" s="65"/>
      <c r="O7" s="65"/>
      <c r="P7" s="65"/>
      <c r="Q7" s="65"/>
      <c r="R7" s="65"/>
      <c r="S7" s="65"/>
    </row>
    <row r="8" spans="1:20" s="72" customFormat="1" ht="45" customHeight="1" thickBot="1">
      <c r="A8" s="68"/>
      <c r="B8" s="68"/>
      <c r="C8" s="69"/>
      <c r="D8" s="70"/>
      <c r="E8" s="71"/>
      <c r="F8" s="71"/>
      <c r="G8" s="71"/>
      <c r="H8" s="71"/>
      <c r="I8" s="71"/>
      <c r="J8" s="71"/>
      <c r="K8" s="71"/>
      <c r="L8" s="71"/>
      <c r="M8" s="71"/>
      <c r="N8" s="71"/>
      <c r="O8" s="71"/>
      <c r="P8" s="71"/>
      <c r="Q8" s="71"/>
      <c r="R8" s="71"/>
      <c r="S8" s="71"/>
      <c r="T8" s="71"/>
    </row>
    <row r="9" spans="1:19" s="17" customFormat="1" ht="120.75" customHeight="1" thickBot="1">
      <c r="A9" s="20"/>
      <c r="B9" s="21"/>
      <c r="C9" s="21"/>
      <c r="D9" s="22"/>
      <c r="E9" s="23" t="s">
        <v>20</v>
      </c>
      <c r="F9" s="24" t="s">
        <v>21</v>
      </c>
      <c r="G9" s="24" t="s">
        <v>22</v>
      </c>
      <c r="H9" s="25" t="s">
        <v>23</v>
      </c>
      <c r="I9" s="25" t="s">
        <v>24</v>
      </c>
      <c r="J9" s="25" t="s">
        <v>25</v>
      </c>
      <c r="K9" s="26" t="s">
        <v>26</v>
      </c>
      <c r="L9" s="27" t="s">
        <v>27</v>
      </c>
      <c r="M9" s="25" t="s">
        <v>28</v>
      </c>
      <c r="N9" s="77" t="s">
        <v>29</v>
      </c>
      <c r="O9" s="77" t="s">
        <v>30</v>
      </c>
      <c r="P9" s="78" t="s">
        <v>74</v>
      </c>
      <c r="Q9" s="79" t="s">
        <v>31</v>
      </c>
      <c r="R9" s="79" t="s">
        <v>32</v>
      </c>
      <c r="S9" s="25" t="s">
        <v>33</v>
      </c>
    </row>
    <row r="10" spans="3:19" s="17" customFormat="1" ht="21.75" customHeight="1" thickBot="1">
      <c r="C10" s="29"/>
      <c r="D10" s="30" t="s">
        <v>35</v>
      </c>
      <c r="E10" s="31" t="s">
        <v>36</v>
      </c>
      <c r="F10" s="310" t="s">
        <v>37</v>
      </c>
      <c r="G10" s="311"/>
      <c r="H10" s="312" t="s">
        <v>38</v>
      </c>
      <c r="I10" s="313"/>
      <c r="J10" s="314"/>
      <c r="K10" s="315" t="s">
        <v>39</v>
      </c>
      <c r="L10" s="316"/>
      <c r="M10" s="31" t="s">
        <v>40</v>
      </c>
      <c r="N10" s="317" t="s">
        <v>41</v>
      </c>
      <c r="O10" s="318"/>
      <c r="P10" s="31" t="s">
        <v>73</v>
      </c>
      <c r="Q10" s="308" t="s">
        <v>42</v>
      </c>
      <c r="R10" s="309"/>
      <c r="S10" s="31" t="s">
        <v>43</v>
      </c>
    </row>
    <row r="11" spans="1:19" s="17" customFormat="1" ht="23.25" customHeight="1" thickBot="1">
      <c r="A11" s="28" t="s">
        <v>53</v>
      </c>
      <c r="C11" s="33"/>
      <c r="D11" s="34">
        <v>400</v>
      </c>
      <c r="E11" s="35">
        <v>40</v>
      </c>
      <c r="F11" s="35">
        <v>40</v>
      </c>
      <c r="G11" s="35">
        <v>35</v>
      </c>
      <c r="H11" s="36">
        <v>50</v>
      </c>
      <c r="I11" s="36" t="s">
        <v>45</v>
      </c>
      <c r="J11" s="36" t="s">
        <v>46</v>
      </c>
      <c r="K11" s="36">
        <v>45</v>
      </c>
      <c r="L11" s="36">
        <v>40</v>
      </c>
      <c r="M11" s="36" t="s">
        <v>47</v>
      </c>
      <c r="N11" s="36">
        <v>35</v>
      </c>
      <c r="O11" s="36">
        <v>20</v>
      </c>
      <c r="P11" s="36">
        <v>35</v>
      </c>
      <c r="Q11" s="36">
        <v>45</v>
      </c>
      <c r="R11" s="36">
        <v>35</v>
      </c>
      <c r="S11" s="36" t="s">
        <v>75</v>
      </c>
    </row>
    <row r="12" spans="1:19" s="17" customFormat="1" ht="35.25" customHeight="1" thickBot="1">
      <c r="A12" s="32" t="s">
        <v>54</v>
      </c>
      <c r="C12" s="33"/>
      <c r="D12" s="34"/>
      <c r="E12" s="58" t="s">
        <v>55</v>
      </c>
      <c r="F12" s="58" t="s">
        <v>55</v>
      </c>
      <c r="G12" s="58" t="s">
        <v>55</v>
      </c>
      <c r="H12" s="58" t="s">
        <v>55</v>
      </c>
      <c r="I12" s="58" t="s">
        <v>56</v>
      </c>
      <c r="J12" s="58" t="s">
        <v>56</v>
      </c>
      <c r="K12" s="58" t="s">
        <v>55</v>
      </c>
      <c r="L12" s="58" t="s">
        <v>55</v>
      </c>
      <c r="M12" s="58" t="s">
        <v>57</v>
      </c>
      <c r="N12" s="58" t="s">
        <v>55</v>
      </c>
      <c r="O12" s="58" t="s">
        <v>55</v>
      </c>
      <c r="P12" s="58" t="s">
        <v>55</v>
      </c>
      <c r="Q12" s="58" t="s">
        <v>55</v>
      </c>
      <c r="R12" s="58" t="s">
        <v>55</v>
      </c>
      <c r="S12" s="58" t="s">
        <v>57</v>
      </c>
    </row>
    <row r="13" spans="1:64" s="54" customFormat="1" ht="17.25" customHeight="1" thickBot="1">
      <c r="A13" s="39" t="s">
        <v>49</v>
      </c>
      <c r="B13" s="39" t="s">
        <v>50</v>
      </c>
      <c r="C13" s="40" t="s">
        <v>51</v>
      </c>
      <c r="D13" s="59"/>
      <c r="E13" s="60"/>
      <c r="F13" s="60"/>
      <c r="G13" s="60"/>
      <c r="H13" s="60"/>
      <c r="I13" s="60"/>
      <c r="J13" s="60"/>
      <c r="K13" s="60"/>
      <c r="L13" s="60"/>
      <c r="M13" s="60"/>
      <c r="N13" s="60"/>
      <c r="O13" s="60"/>
      <c r="P13" s="60"/>
      <c r="Q13" s="60"/>
      <c r="R13" s="60"/>
      <c r="S13" s="61"/>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row>
    <row r="14" spans="1:19" s="17" customFormat="1" ht="24.75" customHeight="1" thickBot="1">
      <c r="A14" s="62"/>
      <c r="B14" s="62"/>
      <c r="C14" s="63"/>
      <c r="D14" s="64"/>
      <c r="E14" s="65"/>
      <c r="F14" s="65"/>
      <c r="G14" s="65"/>
      <c r="H14" s="65"/>
      <c r="I14" s="65"/>
      <c r="J14" s="65"/>
      <c r="K14" s="65"/>
      <c r="L14" s="65"/>
      <c r="M14" s="65"/>
      <c r="N14" s="65"/>
      <c r="O14" s="65"/>
      <c r="P14" s="65"/>
      <c r="Q14" s="65"/>
      <c r="R14" s="65"/>
      <c r="S14" s="65"/>
    </row>
    <row r="15" spans="1:19" s="17" customFormat="1" ht="24.75" customHeight="1" thickBot="1">
      <c r="A15" s="66"/>
      <c r="B15" s="66"/>
      <c r="C15" s="67"/>
      <c r="D15" s="50"/>
      <c r="E15" s="65"/>
      <c r="F15" s="65"/>
      <c r="G15" s="65"/>
      <c r="H15" s="65"/>
      <c r="I15" s="65"/>
      <c r="J15" s="65"/>
      <c r="K15" s="65"/>
      <c r="L15" s="65"/>
      <c r="M15" s="65"/>
      <c r="N15" s="65"/>
      <c r="O15" s="65"/>
      <c r="P15" s="65"/>
      <c r="Q15" s="65"/>
      <c r="R15" s="65"/>
      <c r="S15" s="65"/>
    </row>
    <row r="16" spans="1:20" s="72" customFormat="1" ht="45" customHeight="1" thickBot="1">
      <c r="A16" s="68"/>
      <c r="B16" s="68"/>
      <c r="C16" s="69"/>
      <c r="D16" s="70"/>
      <c r="E16" s="71"/>
      <c r="F16" s="71"/>
      <c r="G16" s="71"/>
      <c r="H16" s="71"/>
      <c r="I16" s="71"/>
      <c r="J16" s="71"/>
      <c r="K16" s="71"/>
      <c r="L16" s="71"/>
      <c r="M16" s="71"/>
      <c r="N16" s="71"/>
      <c r="O16" s="71"/>
      <c r="P16" s="71"/>
      <c r="Q16" s="71"/>
      <c r="R16" s="71"/>
      <c r="S16" s="71"/>
      <c r="T16" s="71"/>
    </row>
    <row r="17" spans="1:19" s="17" customFormat="1" ht="120.75" customHeight="1" thickBot="1">
      <c r="A17" s="20"/>
      <c r="B17" s="21"/>
      <c r="C17" s="21"/>
      <c r="D17" s="22"/>
      <c r="E17" s="23" t="s">
        <v>20</v>
      </c>
      <c r="F17" s="24" t="s">
        <v>21</v>
      </c>
      <c r="G17" s="24" t="s">
        <v>22</v>
      </c>
      <c r="H17" s="25" t="s">
        <v>23</v>
      </c>
      <c r="I17" s="25" t="s">
        <v>24</v>
      </c>
      <c r="J17" s="25" t="s">
        <v>25</v>
      </c>
      <c r="K17" s="26" t="s">
        <v>26</v>
      </c>
      <c r="L17" s="27" t="s">
        <v>27</v>
      </c>
      <c r="M17" s="25" t="s">
        <v>28</v>
      </c>
      <c r="N17" s="77" t="s">
        <v>29</v>
      </c>
      <c r="O17" s="77" t="s">
        <v>30</v>
      </c>
      <c r="P17" s="78" t="s">
        <v>74</v>
      </c>
      <c r="Q17" s="79" t="s">
        <v>31</v>
      </c>
      <c r="R17" s="79" t="s">
        <v>32</v>
      </c>
      <c r="S17" s="25" t="s">
        <v>33</v>
      </c>
    </row>
    <row r="18" spans="3:19" s="17" customFormat="1" ht="21.75" customHeight="1" thickBot="1">
      <c r="C18" s="29"/>
      <c r="D18" s="30" t="s">
        <v>35</v>
      </c>
      <c r="E18" s="31" t="s">
        <v>36</v>
      </c>
      <c r="F18" s="310" t="s">
        <v>37</v>
      </c>
      <c r="G18" s="311"/>
      <c r="H18" s="312" t="s">
        <v>38</v>
      </c>
      <c r="I18" s="313"/>
      <c r="J18" s="314"/>
      <c r="K18" s="315" t="s">
        <v>39</v>
      </c>
      <c r="L18" s="316"/>
      <c r="M18" s="31" t="s">
        <v>40</v>
      </c>
      <c r="N18" s="317" t="s">
        <v>41</v>
      </c>
      <c r="O18" s="318"/>
      <c r="P18" s="31" t="s">
        <v>73</v>
      </c>
      <c r="Q18" s="308" t="s">
        <v>42</v>
      </c>
      <c r="R18" s="309"/>
      <c r="S18" s="31" t="s">
        <v>43</v>
      </c>
    </row>
    <row r="19" spans="1:19" s="17" customFormat="1" ht="23.25" customHeight="1" thickBot="1">
      <c r="A19" s="28" t="s">
        <v>53</v>
      </c>
      <c r="C19" s="33"/>
      <c r="D19" s="34">
        <v>400</v>
      </c>
      <c r="E19" s="35">
        <v>40</v>
      </c>
      <c r="F19" s="35">
        <v>40</v>
      </c>
      <c r="G19" s="35">
        <v>35</v>
      </c>
      <c r="H19" s="36">
        <v>50</v>
      </c>
      <c r="I19" s="36" t="s">
        <v>45</v>
      </c>
      <c r="J19" s="36" t="s">
        <v>46</v>
      </c>
      <c r="K19" s="36">
        <v>45</v>
      </c>
      <c r="L19" s="36">
        <v>40</v>
      </c>
      <c r="M19" s="36" t="s">
        <v>47</v>
      </c>
      <c r="N19" s="36">
        <v>35</v>
      </c>
      <c r="O19" s="36">
        <v>20</v>
      </c>
      <c r="P19" s="36">
        <v>35</v>
      </c>
      <c r="Q19" s="36">
        <v>45</v>
      </c>
      <c r="R19" s="36">
        <v>35</v>
      </c>
      <c r="S19" s="36" t="s">
        <v>75</v>
      </c>
    </row>
    <row r="20" spans="1:19" s="17" customFormat="1" ht="35.25" customHeight="1" thickBot="1">
      <c r="A20" s="32" t="s">
        <v>54</v>
      </c>
      <c r="C20" s="33"/>
      <c r="D20" s="34"/>
      <c r="E20" s="58" t="s">
        <v>55</v>
      </c>
      <c r="F20" s="58" t="s">
        <v>55</v>
      </c>
      <c r="G20" s="58" t="s">
        <v>55</v>
      </c>
      <c r="H20" s="58" t="s">
        <v>55</v>
      </c>
      <c r="I20" s="58" t="s">
        <v>56</v>
      </c>
      <c r="J20" s="58" t="s">
        <v>56</v>
      </c>
      <c r="K20" s="58" t="s">
        <v>55</v>
      </c>
      <c r="L20" s="58" t="s">
        <v>55</v>
      </c>
      <c r="M20" s="58" t="s">
        <v>57</v>
      </c>
      <c r="N20" s="58" t="s">
        <v>55</v>
      </c>
      <c r="O20" s="58" t="s">
        <v>55</v>
      </c>
      <c r="P20" s="58" t="s">
        <v>55</v>
      </c>
      <c r="Q20" s="58" t="s">
        <v>55</v>
      </c>
      <c r="R20" s="58" t="s">
        <v>55</v>
      </c>
      <c r="S20" s="58" t="s">
        <v>57</v>
      </c>
    </row>
    <row r="21" spans="1:64" s="54" customFormat="1" ht="17.25" customHeight="1" thickBot="1">
      <c r="A21" s="39" t="s">
        <v>49</v>
      </c>
      <c r="B21" s="39" t="s">
        <v>50</v>
      </c>
      <c r="C21" s="40" t="s">
        <v>51</v>
      </c>
      <c r="D21" s="59"/>
      <c r="E21" s="60"/>
      <c r="F21" s="60"/>
      <c r="G21" s="60"/>
      <c r="H21" s="60"/>
      <c r="I21" s="60"/>
      <c r="J21" s="60"/>
      <c r="K21" s="60"/>
      <c r="L21" s="60"/>
      <c r="M21" s="60"/>
      <c r="N21" s="60"/>
      <c r="O21" s="60"/>
      <c r="P21" s="60"/>
      <c r="Q21" s="60"/>
      <c r="R21" s="60"/>
      <c r="S21" s="61"/>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row>
    <row r="22" spans="1:19" s="17" customFormat="1" ht="24.75" customHeight="1" thickBot="1">
      <c r="A22" s="62"/>
      <c r="B22" s="62"/>
      <c r="C22" s="63"/>
      <c r="D22" s="64"/>
      <c r="E22" s="65"/>
      <c r="F22" s="65"/>
      <c r="G22" s="65"/>
      <c r="H22" s="65"/>
      <c r="I22" s="65"/>
      <c r="J22" s="65"/>
      <c r="K22" s="65"/>
      <c r="L22" s="65"/>
      <c r="M22" s="65"/>
      <c r="N22" s="65"/>
      <c r="O22" s="65"/>
      <c r="P22" s="65"/>
      <c r="Q22" s="65"/>
      <c r="R22" s="65"/>
      <c r="S22" s="65"/>
    </row>
    <row r="23" spans="1:19" s="17" customFormat="1" ht="24.75" customHeight="1" thickBot="1">
      <c r="A23" s="66"/>
      <c r="B23" s="66"/>
      <c r="C23" s="67"/>
      <c r="D23" s="50"/>
      <c r="E23" s="65"/>
      <c r="F23" s="65"/>
      <c r="G23" s="65"/>
      <c r="H23" s="65"/>
      <c r="I23" s="65"/>
      <c r="J23" s="65"/>
      <c r="K23" s="65"/>
      <c r="L23" s="65"/>
      <c r="M23" s="65"/>
      <c r="N23" s="65"/>
      <c r="O23" s="65"/>
      <c r="P23" s="65"/>
      <c r="Q23" s="65"/>
      <c r="R23" s="65"/>
      <c r="S23" s="65"/>
    </row>
  </sheetData>
  <mergeCells count="15">
    <mergeCell ref="Q18:R18"/>
    <mergeCell ref="F18:G18"/>
    <mergeCell ref="H18:J18"/>
    <mergeCell ref="K18:L18"/>
    <mergeCell ref="N18:O18"/>
    <mergeCell ref="Q2:R2"/>
    <mergeCell ref="F10:G10"/>
    <mergeCell ref="H10:J10"/>
    <mergeCell ref="K10:L10"/>
    <mergeCell ref="N10:O10"/>
    <mergeCell ref="Q10:R10"/>
    <mergeCell ref="F2:G2"/>
    <mergeCell ref="H2:J2"/>
    <mergeCell ref="K2:L2"/>
    <mergeCell ref="N2:O2"/>
  </mergeCells>
  <dataValidations count="14">
    <dataValidation type="custom" allowBlank="1" showInputMessage="1" showErrorMessage="1" prompt="Enter Y or Leave Blank" error="Invalid Enter Y or Leave Blank" sqref="F5 F13 F21">
      <formula1>OR(F5="y",F5="Y")</formula1>
    </dataValidation>
    <dataValidation type="custom" allowBlank="1" showInputMessage="1" showErrorMessage="1" promptTitle="Enter 1 thru 4" error="Entry must be from 1 thru 4" sqref="E5:E8 E13:E16 E21:E23">
      <formula1>AND(E5&gt;0,E5&lt;5)</formula1>
    </dataValidation>
    <dataValidation type="custom" allowBlank="1" showInputMessage="1" showErrorMessage="1" prompt="Enter 1 thru 4" error="Value must be 1 thru 4" sqref="H5 H13 H21">
      <formula1>AND(H5&gt;0,H5&lt;5)</formula1>
    </dataValidation>
    <dataValidation type="custom" allowBlank="1" showInputMessage="1" showErrorMessage="1" prompt="Input value 1 thru 4" error="Value must be 1 thru 4" sqref="G5 G13 G21">
      <formula1>AND(G5&gt;0,G5&lt;5)</formula1>
    </dataValidation>
    <dataValidation type="custom" allowBlank="1" showInputMessage="1" showErrorMessage="1" prompt="Input 1 thru 4" error="Input 1 thru 4" sqref="I5 I13 I21">
      <formula1>AND(I5&gt;0,SUM(I5:M5)&lt;5)</formula1>
    </dataValidation>
    <dataValidation type="custom" allowBlank="1" showInputMessage="1" showErrorMessage="1" sqref="J5 J13 J21">
      <formula1>AND(J5&gt;0,SUM(I5:M5)&lt;5)</formula1>
    </dataValidation>
    <dataValidation type="custom" allowBlank="1" showInputMessage="1" showErrorMessage="1" prompt="Input 1 thru 4" error="Value must be 1 thru 4" sqref="K5 K13 K21">
      <formula1>AND(K5&gt;0,SUM(I5:M5)&lt;5)</formula1>
    </dataValidation>
    <dataValidation type="custom" allowBlank="1" showInputMessage="1" showErrorMessage="1" prompt="Input 1 thru 4" error="Value must be 1 thru 4" sqref="L5 L13 L21">
      <formula1>AND(L5&gt;0,SUM(I5:M5)&lt;5)</formula1>
    </dataValidation>
    <dataValidation type="custom" allowBlank="1" showInputMessage="1" showErrorMessage="1" prompt="Input 1 thru 4" error="Value must be 1 thru 4" sqref="M5 M13 P13 P5 M21 P21">
      <formula1>AND(M5&gt;0,SUM(I5:M5)&lt;5)</formula1>
    </dataValidation>
    <dataValidation type="custom" allowBlank="1" showInputMessage="1" showErrorMessage="1" prompt="Input 1 thru 3" error="Value must be 1 thru 3" sqref="N5 N13 N21">
      <formula1>N5&lt;4</formula1>
    </dataValidation>
    <dataValidation type="custom" allowBlank="1" showInputMessage="1" showErrorMessage="1" prompt="Input Y or leave blank" error="Value must be Y or left blank" sqref="O5 O13 O21">
      <formula1>OR(O5="y",O5="Y")</formula1>
    </dataValidation>
    <dataValidation type="custom" allowBlank="1" showInputMessage="1" showErrorMessage="1" prompt="Input Y or leave blank" error="Value must be Y or leave blank" sqref="Q5 Q13 Q21">
      <formula1>OR(Q5="y",Q5="Y")</formula1>
    </dataValidation>
    <dataValidation type="custom" allowBlank="1" showInputMessage="1" showErrorMessage="1" prompt="Enter 1 thru 16" error="Value must be 1 thru 16" sqref="R5 R13 R21">
      <formula1>AND(R5&gt;0,R5&lt;17)</formula1>
    </dataValidation>
    <dataValidation type="custom" allowBlank="1" showInputMessage="1" showErrorMessage="1" prompt="Enter 1 thru 8" error="Value must 1 thru 8" sqref="S5 S13 S21">
      <formula1>AND(S5&gt;0,S5&lt;9)</formula1>
    </dataValidation>
  </dataValidations>
  <printOptions/>
  <pageMargins left="0.75" right="0.75" top="1" bottom="1" header="0.5" footer="0.5"/>
  <pageSetup fitToHeight="1" fitToWidth="1" horizontalDpi="300" verticalDpi="300" orientation="landscape" scale="53" r:id="rId3"/>
  <legacy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Q169"/>
  <sheetViews>
    <sheetView zoomScale="64" zoomScaleNormal="64" workbookViewId="0" topLeftCell="A1">
      <selection activeCell="E1" sqref="E1"/>
    </sheetView>
  </sheetViews>
  <sheetFormatPr defaultColWidth="9.140625" defaultRowHeight="12.75"/>
  <cols>
    <col min="2" max="2" width="8.421875" style="0" bestFit="1" customWidth="1"/>
    <col min="3" max="3" width="29.28125" style="0" bestFit="1" customWidth="1"/>
    <col min="4" max="4" width="16.57421875" style="0" customWidth="1"/>
    <col min="5" max="5" width="17.00390625" style="0" customWidth="1"/>
    <col min="6" max="6" width="9.140625" style="73" customWidth="1"/>
    <col min="10" max="10" width="21.8515625" style="0" customWidth="1"/>
    <col min="17" max="17" width="9.140625" style="73" customWidth="1"/>
  </cols>
  <sheetData>
    <row r="1" spans="6:17" ht="36.75" customHeight="1" thickBot="1">
      <c r="F1" s="303" t="s">
        <v>164</v>
      </c>
      <c r="G1" s="303"/>
      <c r="H1" s="303"/>
      <c r="I1" s="303"/>
      <c r="K1" s="303" t="s">
        <v>207</v>
      </c>
      <c r="L1" s="303"/>
      <c r="M1" s="303"/>
      <c r="N1" s="303"/>
      <c r="P1" s="319" t="s">
        <v>208</v>
      </c>
      <c r="Q1" s="319"/>
    </row>
    <row r="2" spans="1:17" ht="27" thickBot="1">
      <c r="A2" s="105" t="s">
        <v>85</v>
      </c>
      <c r="B2" s="106" t="s">
        <v>80</v>
      </c>
      <c r="C2" s="181" t="s">
        <v>51</v>
      </c>
      <c r="D2" s="174" t="s">
        <v>81</v>
      </c>
      <c r="F2" s="182" t="s">
        <v>160</v>
      </c>
      <c r="G2" s="183" t="s">
        <v>165</v>
      </c>
      <c r="H2" s="183" t="s">
        <v>166</v>
      </c>
      <c r="I2" s="184" t="s">
        <v>167</v>
      </c>
      <c r="K2" s="182">
        <v>1</v>
      </c>
      <c r="L2" s="183">
        <v>2</v>
      </c>
      <c r="M2" s="183">
        <v>3</v>
      </c>
      <c r="N2" s="184" t="s">
        <v>210</v>
      </c>
      <c r="P2" s="185" t="s">
        <v>108</v>
      </c>
      <c r="Q2" s="186" t="s">
        <v>209</v>
      </c>
    </row>
    <row r="3" spans="1:17" ht="31.5" customHeight="1">
      <c r="A3" s="111">
        <v>1</v>
      </c>
      <c r="B3" s="104">
        <v>2823</v>
      </c>
      <c r="C3" s="139" t="s">
        <v>148</v>
      </c>
      <c r="D3" s="175" t="s">
        <v>91</v>
      </c>
      <c r="E3" s="265"/>
      <c r="F3" s="170">
        <f>SUMIF('Local Comp Scores'!$D$6:$D$30,C3,'Local Comp Scores'!$E$6:$E$30)</f>
        <v>24</v>
      </c>
      <c r="G3" s="171">
        <f>SUMIF('Local Comp Scores'!$D$31:$D$56,$C3,'Local Comp Scores'!$E$31:$E$56)</f>
        <v>77</v>
      </c>
      <c r="H3" s="171">
        <f>SUMIF('Local Comp Scores'!$D$59:$D$83,$C3,'Local Comp Scores'!$E$59:$E$83)</f>
        <v>32</v>
      </c>
      <c r="I3" s="172">
        <f>SUMIF('Local Comp Scores'!$D$84:$D$109,$C3,'Local Comp Scores'!$E$84:$E$109)</f>
        <v>18</v>
      </c>
      <c r="K3" s="151">
        <f>LARGE($F3:$I3,1)</f>
        <v>77</v>
      </c>
      <c r="L3" s="164">
        <f>LARGE($F3:$I3,2)</f>
        <v>32</v>
      </c>
      <c r="M3" s="164">
        <f>LARGE($F3:$I3,3)</f>
        <v>24</v>
      </c>
      <c r="N3" s="165">
        <f>LARGE($F3:$I3,4)</f>
        <v>18</v>
      </c>
      <c r="P3" s="178">
        <f>SUM(K3:M3)/3</f>
        <v>44.333333333333336</v>
      </c>
      <c r="Q3" s="165">
        <f>RANK($P3,$P$3:$P$19,0)</f>
        <v>17</v>
      </c>
    </row>
    <row r="4" spans="1:17" ht="18">
      <c r="A4" s="96">
        <f>1+A3</f>
        <v>2</v>
      </c>
      <c r="B4" s="92">
        <v>2294</v>
      </c>
      <c r="C4" s="173" t="s">
        <v>282</v>
      </c>
      <c r="D4" s="176" t="s">
        <v>102</v>
      </c>
      <c r="E4" s="266"/>
      <c r="F4" s="166">
        <f>SUMIF('Local Comp Scores'!$D$6:$D$30,C4,'Local Comp Scores'!$E$6:$E$30)</f>
        <v>157</v>
      </c>
      <c r="G4" s="145">
        <f>SUMIF('Local Comp Scores'!$D$31:$D$56,$C4,'Local Comp Scores'!$E$31:$E$56)</f>
        <v>103</v>
      </c>
      <c r="H4" s="145">
        <f>SUMIF('Local Comp Scores'!$D$59:$D$83,$C4,'Local Comp Scores'!$E$59:$E$83)</f>
        <v>123</v>
      </c>
      <c r="I4" s="156">
        <f>SUMIF('Local Comp Scores'!$D$84:$D$109,$C4,'Local Comp Scores'!$E$84:$E$109)</f>
        <v>188</v>
      </c>
      <c r="K4" s="166">
        <f aca="true" t="shared" si="0" ref="K4:K19">LARGE($F4:$I4,1)</f>
        <v>188</v>
      </c>
      <c r="L4" s="145">
        <f aca="true" t="shared" si="1" ref="L4:L19">LARGE($F4:$I4,2)</f>
        <v>157</v>
      </c>
      <c r="M4" s="145">
        <f aca="true" t="shared" si="2" ref="M4:M19">LARGE($F4:$I4,3)</f>
        <v>123</v>
      </c>
      <c r="N4" s="156">
        <f aca="true" t="shared" si="3" ref="N4:N19">LARGE($F4:$I4,4)</f>
        <v>103</v>
      </c>
      <c r="P4" s="179">
        <f aca="true" t="shared" si="4" ref="P4:P19">SUM(K4:M4)/3</f>
        <v>156</v>
      </c>
      <c r="Q4" s="156">
        <f aca="true" t="shared" si="5" ref="Q4:Q19">RANK($P4,$P$3:$P$19,0)</f>
        <v>7</v>
      </c>
    </row>
    <row r="5" spans="1:17" ht="18">
      <c r="A5" s="96">
        <f aca="true" t="shared" si="6" ref="A5:A19">1+A4</f>
        <v>3</v>
      </c>
      <c r="B5" s="92">
        <v>2682</v>
      </c>
      <c r="C5" s="139" t="s">
        <v>92</v>
      </c>
      <c r="D5" s="176" t="s">
        <v>93</v>
      </c>
      <c r="E5" s="266"/>
      <c r="F5" s="166">
        <f>SUMIF('Local Comp Scores'!$D$6:$D$30,C5,'Local Comp Scores'!$E$6:$E$30)</f>
        <v>349</v>
      </c>
      <c r="G5" s="145">
        <f>SUMIF('Local Comp Scores'!$D$31:$D$56,$C5,'Local Comp Scores'!$E$31:$E$56)</f>
        <v>75</v>
      </c>
      <c r="H5" s="145">
        <f>SUMIF('Local Comp Scores'!$D$59:$D$83,$C5,'Local Comp Scores'!$E$59:$E$83)</f>
        <v>142</v>
      </c>
      <c r="I5" s="156">
        <f>SUMIF('Local Comp Scores'!$D$84:$D$109,$C5,'Local Comp Scores'!$E$84:$E$109)</f>
        <v>200</v>
      </c>
      <c r="K5" s="166">
        <f t="shared" si="0"/>
        <v>349</v>
      </c>
      <c r="L5" s="145">
        <f t="shared" si="1"/>
        <v>200</v>
      </c>
      <c r="M5" s="145">
        <f t="shared" si="2"/>
        <v>142</v>
      </c>
      <c r="N5" s="156">
        <f t="shared" si="3"/>
        <v>75</v>
      </c>
      <c r="P5" s="179">
        <f t="shared" si="4"/>
        <v>230.33333333333334</v>
      </c>
      <c r="Q5" s="156">
        <f t="shared" si="5"/>
        <v>3</v>
      </c>
    </row>
    <row r="6" spans="1:17" ht="38.25">
      <c r="A6" s="96">
        <f t="shared" si="6"/>
        <v>4</v>
      </c>
      <c r="B6" s="92">
        <v>1015</v>
      </c>
      <c r="C6" s="173" t="s">
        <v>154</v>
      </c>
      <c r="D6" s="176" t="s">
        <v>100</v>
      </c>
      <c r="E6" s="266"/>
      <c r="F6" s="166">
        <f>SUMIF('Local Comp Scores'!$D$6:$D$30,C6,'Local Comp Scores'!$E$6:$E$30)</f>
        <v>112</v>
      </c>
      <c r="G6" s="145">
        <f>SUMIF('Local Comp Scores'!$D$31:$D$56,$C6,'Local Comp Scores'!$E$31:$E$56)</f>
        <v>107</v>
      </c>
      <c r="H6" s="145">
        <f>SUMIF('Local Comp Scores'!$D$59:$D$83,$C6,'Local Comp Scores'!$E$59:$E$83)</f>
        <v>140</v>
      </c>
      <c r="I6" s="156">
        <f>SUMIF('Local Comp Scores'!$D$84:$D$109,$C6,'Local Comp Scores'!$E$84:$E$109)</f>
        <v>171</v>
      </c>
      <c r="K6" s="166">
        <f t="shared" si="0"/>
        <v>171</v>
      </c>
      <c r="L6" s="145">
        <f t="shared" si="1"/>
        <v>140</v>
      </c>
      <c r="M6" s="145">
        <f t="shared" si="2"/>
        <v>112</v>
      </c>
      <c r="N6" s="156">
        <f t="shared" si="3"/>
        <v>107</v>
      </c>
      <c r="P6" s="179">
        <f t="shared" si="4"/>
        <v>141</v>
      </c>
      <c r="Q6" s="156">
        <f t="shared" si="5"/>
        <v>8</v>
      </c>
    </row>
    <row r="7" spans="1:17" ht="18">
      <c r="A7" s="96">
        <f t="shared" si="6"/>
        <v>5</v>
      </c>
      <c r="B7" s="92">
        <v>590</v>
      </c>
      <c r="C7" s="139" t="s">
        <v>153</v>
      </c>
      <c r="D7" s="176" t="s">
        <v>94</v>
      </c>
      <c r="E7" s="266"/>
      <c r="F7" s="166">
        <f>SUMIF('Local Comp Scores'!$D$6:$D$30,C7,'Local Comp Scores'!$E$6:$E$30)</f>
        <v>114</v>
      </c>
      <c r="G7" s="145">
        <f>SUMIF('Local Comp Scores'!$D$31:$D$56,$C7,'Local Comp Scores'!$E$31:$E$56)</f>
        <v>142</v>
      </c>
      <c r="H7" s="145">
        <f>SUMIF('Local Comp Scores'!$D$59:$D$83,$C7,'Local Comp Scores'!$E$59:$E$83)</f>
        <v>108</v>
      </c>
      <c r="I7" s="156">
        <f>SUMIF('Local Comp Scores'!$D$84:$D$109,$C7,'Local Comp Scores'!$E$84:$E$109)</f>
        <v>135</v>
      </c>
      <c r="K7" s="166">
        <f t="shared" si="0"/>
        <v>142</v>
      </c>
      <c r="L7" s="145">
        <f t="shared" si="1"/>
        <v>135</v>
      </c>
      <c r="M7" s="145">
        <f t="shared" si="2"/>
        <v>114</v>
      </c>
      <c r="N7" s="156">
        <f t="shared" si="3"/>
        <v>108</v>
      </c>
      <c r="P7" s="179">
        <f t="shared" si="4"/>
        <v>130.33333333333334</v>
      </c>
      <c r="Q7" s="156">
        <f t="shared" si="5"/>
        <v>9</v>
      </c>
    </row>
    <row r="8" spans="1:17" ht="18">
      <c r="A8" s="96">
        <f t="shared" si="6"/>
        <v>6</v>
      </c>
      <c r="B8" s="92">
        <v>2224</v>
      </c>
      <c r="C8" s="173" t="s">
        <v>151</v>
      </c>
      <c r="D8" s="176" t="s">
        <v>101</v>
      </c>
      <c r="E8" s="266"/>
      <c r="F8" s="166">
        <f>SUMIF('Local Comp Scores'!$D$6:$D$30,C8,'Local Comp Scores'!$E$6:$E$30)</f>
        <v>108</v>
      </c>
      <c r="G8" s="145">
        <f>SUMIF('Local Comp Scores'!$D$31:$D$56,$C8,'Local Comp Scores'!$E$31:$E$56)</f>
        <v>55</v>
      </c>
      <c r="H8" s="145">
        <f>SUMIF('Local Comp Scores'!$D$59:$D$83,$C8,'Local Comp Scores'!$E$59:$E$83)</f>
        <v>159</v>
      </c>
      <c r="I8" s="156">
        <f>SUMIF('Local Comp Scores'!$D$84:$D$109,$C8,'Local Comp Scores'!$E$84:$E$109)</f>
        <v>112</v>
      </c>
      <c r="K8" s="166">
        <f t="shared" si="0"/>
        <v>159</v>
      </c>
      <c r="L8" s="145">
        <f t="shared" si="1"/>
        <v>112</v>
      </c>
      <c r="M8" s="145">
        <f t="shared" si="2"/>
        <v>108</v>
      </c>
      <c r="N8" s="156">
        <f t="shared" si="3"/>
        <v>55</v>
      </c>
      <c r="P8" s="179">
        <f t="shared" si="4"/>
        <v>126.33333333333333</v>
      </c>
      <c r="Q8" s="156">
        <f t="shared" si="5"/>
        <v>10</v>
      </c>
    </row>
    <row r="9" spans="1:17" ht="18">
      <c r="A9" s="96">
        <f t="shared" si="6"/>
        <v>7</v>
      </c>
      <c r="B9" s="92">
        <v>122</v>
      </c>
      <c r="C9" s="139" t="s">
        <v>141</v>
      </c>
      <c r="D9" s="176" t="s">
        <v>104</v>
      </c>
      <c r="E9" s="266"/>
      <c r="F9" s="166">
        <f>SUMIF('Local Comp Scores'!$D$6:$D$30,C9,'Local Comp Scores'!$E$6:$E$30)</f>
        <v>74</v>
      </c>
      <c r="G9" s="145">
        <f>SUMIF('Local Comp Scores'!$D$31:$D$56,$C9,'Local Comp Scores'!$E$31:$E$56)</f>
        <v>85</v>
      </c>
      <c r="H9" s="145">
        <f>SUMIF('Local Comp Scores'!$D$59:$D$83,$C9,'Local Comp Scores'!$E$59:$E$83)</f>
        <v>90</v>
      </c>
      <c r="I9" s="156">
        <f>SUMIF('Local Comp Scores'!$D$84:$D$109,$C9,'Local Comp Scores'!$E$84:$E$109)</f>
        <v>10</v>
      </c>
      <c r="K9" s="166">
        <f t="shared" si="0"/>
        <v>90</v>
      </c>
      <c r="L9" s="145">
        <f t="shared" si="1"/>
        <v>85</v>
      </c>
      <c r="M9" s="145">
        <f t="shared" si="2"/>
        <v>74</v>
      </c>
      <c r="N9" s="156">
        <f t="shared" si="3"/>
        <v>10</v>
      </c>
      <c r="P9" s="179">
        <f t="shared" si="4"/>
        <v>83</v>
      </c>
      <c r="Q9" s="156">
        <f t="shared" si="5"/>
        <v>13</v>
      </c>
    </row>
    <row r="10" spans="1:17" ht="38.25">
      <c r="A10" s="96">
        <f t="shared" si="6"/>
        <v>8</v>
      </c>
      <c r="B10" s="92">
        <v>2824</v>
      </c>
      <c r="C10" s="173" t="s">
        <v>88</v>
      </c>
      <c r="D10" s="176" t="s">
        <v>89</v>
      </c>
      <c r="E10" s="265"/>
      <c r="F10" s="166">
        <f>SUMIF('Local Comp Scores'!$D$6:$D$30,C10,'Local Comp Scores'!$E$6:$E$30)</f>
        <v>119</v>
      </c>
      <c r="G10" s="145">
        <f>SUMIF('Local Comp Scores'!$D$31:$D$56,$C10,'Local Comp Scores'!$E$31:$E$56)</f>
        <v>161</v>
      </c>
      <c r="H10" s="145">
        <f>SUMIF('Local Comp Scores'!$D$59:$D$83,$C10,'Local Comp Scores'!$E$59:$E$83)</f>
        <v>161</v>
      </c>
      <c r="I10" s="156">
        <f>SUMIF('Local Comp Scores'!$D$84:$D$109,$C10,'Local Comp Scores'!$E$84:$E$109)</f>
        <v>151</v>
      </c>
      <c r="K10" s="166">
        <f t="shared" si="0"/>
        <v>161</v>
      </c>
      <c r="L10" s="145">
        <f t="shared" si="1"/>
        <v>161</v>
      </c>
      <c r="M10" s="145">
        <f t="shared" si="2"/>
        <v>151</v>
      </c>
      <c r="N10" s="156">
        <f t="shared" si="3"/>
        <v>119</v>
      </c>
      <c r="P10" s="179">
        <f t="shared" si="4"/>
        <v>157.66666666666666</v>
      </c>
      <c r="Q10" s="156">
        <f t="shared" si="5"/>
        <v>6</v>
      </c>
    </row>
    <row r="11" spans="1:17" ht="18">
      <c r="A11" s="96">
        <f t="shared" si="6"/>
        <v>9</v>
      </c>
      <c r="B11" s="92">
        <v>3562</v>
      </c>
      <c r="C11" s="139" t="s">
        <v>152</v>
      </c>
      <c r="D11" s="176" t="s">
        <v>103</v>
      </c>
      <c r="E11" s="265"/>
      <c r="F11" s="166">
        <f>SUMIF('Local Comp Scores'!$D$6:$D$30,C11,'Local Comp Scores'!$E$6:$E$30)</f>
        <v>0</v>
      </c>
      <c r="G11" s="145">
        <f>SUMIF('Local Comp Scores'!$D$31:$D$56,$C11,'Local Comp Scores'!$E$31:$E$56)</f>
        <v>76</v>
      </c>
      <c r="H11" s="145">
        <f>SUMIF('Local Comp Scores'!$D$59:$D$83,$C11,'Local Comp Scores'!$E$59:$E$83)</f>
        <v>86</v>
      </c>
      <c r="I11" s="156">
        <f>SUMIF('Local Comp Scores'!$D$84:$D$109,$C11,'Local Comp Scores'!$E$84:$E$109)</f>
        <v>126</v>
      </c>
      <c r="K11" s="166">
        <f t="shared" si="0"/>
        <v>126</v>
      </c>
      <c r="L11" s="145">
        <f t="shared" si="1"/>
        <v>86</v>
      </c>
      <c r="M11" s="145">
        <f t="shared" si="2"/>
        <v>76</v>
      </c>
      <c r="N11" s="156">
        <f t="shared" si="3"/>
        <v>0</v>
      </c>
      <c r="P11" s="179">
        <f t="shared" si="4"/>
        <v>96</v>
      </c>
      <c r="Q11" s="156">
        <f t="shared" si="5"/>
        <v>11</v>
      </c>
    </row>
    <row r="12" spans="1:17" ht="36">
      <c r="A12" s="96">
        <f t="shared" si="6"/>
        <v>10</v>
      </c>
      <c r="B12" s="92">
        <v>2036</v>
      </c>
      <c r="C12" s="173" t="s">
        <v>98</v>
      </c>
      <c r="D12" s="176" t="s">
        <v>99</v>
      </c>
      <c r="E12" s="266"/>
      <c r="F12" s="166">
        <f>SUMIF('Local Comp Scores'!$D$6:$D$30,C12,'Local Comp Scores'!$E$6:$E$30)</f>
        <v>71</v>
      </c>
      <c r="G12" s="145">
        <f>SUMIF('Local Comp Scores'!$D$31:$D$56,$C12,'Local Comp Scores'!$E$31:$E$56)</f>
        <v>14</v>
      </c>
      <c r="H12" s="145">
        <f>SUMIF('Local Comp Scores'!$D$59:$D$83,$C12,'Local Comp Scores'!$E$59:$E$83)</f>
        <v>42</v>
      </c>
      <c r="I12" s="156">
        <f>SUMIF('Local Comp Scores'!$D$84:$D$109,$C12,'Local Comp Scores'!$E$84:$E$109)</f>
        <v>127</v>
      </c>
      <c r="K12" s="166">
        <f t="shared" si="0"/>
        <v>127</v>
      </c>
      <c r="L12" s="145">
        <f t="shared" si="1"/>
        <v>71</v>
      </c>
      <c r="M12" s="145">
        <f t="shared" si="2"/>
        <v>42</v>
      </c>
      <c r="N12" s="156">
        <f t="shared" si="3"/>
        <v>14</v>
      </c>
      <c r="P12" s="179">
        <f t="shared" si="4"/>
        <v>80</v>
      </c>
      <c r="Q12" s="156">
        <f t="shared" si="5"/>
        <v>14</v>
      </c>
    </row>
    <row r="13" spans="1:17" ht="25.5">
      <c r="A13" s="96">
        <f t="shared" si="6"/>
        <v>11</v>
      </c>
      <c r="B13" s="92">
        <v>3497</v>
      </c>
      <c r="C13" s="139" t="s">
        <v>86</v>
      </c>
      <c r="D13" s="176" t="s">
        <v>87</v>
      </c>
      <c r="E13" s="265"/>
      <c r="F13" s="166">
        <f>SUMIF('Local Comp Scores'!$D$6:$D$30,C13,'Local Comp Scores'!$E$6:$E$30)</f>
        <v>72</v>
      </c>
      <c r="G13" s="145">
        <f>SUMIF('Local Comp Scores'!$D$31:$D$56,$C13,'Local Comp Scores'!$E$31:$E$56)</f>
        <v>25</v>
      </c>
      <c r="H13" s="145">
        <f>SUMIF('Local Comp Scores'!$D$59:$D$83,$C13,'Local Comp Scores'!$E$59:$E$83)</f>
        <v>87</v>
      </c>
      <c r="I13" s="156">
        <f>SUMIF('Local Comp Scores'!$D$84:$D$109,$C13,'Local Comp Scores'!$E$84:$E$109)</f>
        <v>107</v>
      </c>
      <c r="K13" s="166">
        <f t="shared" si="0"/>
        <v>107</v>
      </c>
      <c r="L13" s="145">
        <f t="shared" si="1"/>
        <v>87</v>
      </c>
      <c r="M13" s="145">
        <f t="shared" si="2"/>
        <v>72</v>
      </c>
      <c r="N13" s="156">
        <f t="shared" si="3"/>
        <v>25</v>
      </c>
      <c r="P13" s="179">
        <f t="shared" si="4"/>
        <v>88.66666666666667</v>
      </c>
      <c r="Q13" s="156">
        <f t="shared" si="5"/>
        <v>12</v>
      </c>
    </row>
    <row r="14" spans="1:17" ht="25.5">
      <c r="A14" s="96">
        <f t="shared" si="6"/>
        <v>12</v>
      </c>
      <c r="B14" s="92">
        <v>2669</v>
      </c>
      <c r="C14" s="173" t="s">
        <v>150</v>
      </c>
      <c r="D14" s="176" t="s">
        <v>90</v>
      </c>
      <c r="E14" s="265"/>
      <c r="F14" s="166">
        <f>SUMIF('Local Comp Scores'!$D$6:$D$30,C14,'Local Comp Scores'!$E$6:$E$30)</f>
        <v>137</v>
      </c>
      <c r="G14" s="145">
        <f>SUMIF('Local Comp Scores'!$D$31:$D$56,$C14,'Local Comp Scores'!$E$31:$E$56)</f>
        <v>197</v>
      </c>
      <c r="H14" s="145">
        <f>SUMIF('Local Comp Scores'!$D$59:$D$83,$C14,'Local Comp Scores'!$E$59:$E$83)</f>
        <v>215</v>
      </c>
      <c r="I14" s="156">
        <f>SUMIF('Local Comp Scores'!$D$84:$D$109,$C14,'Local Comp Scores'!$E$84:$E$109)</f>
        <v>217</v>
      </c>
      <c r="K14" s="166">
        <f t="shared" si="0"/>
        <v>217</v>
      </c>
      <c r="L14" s="145">
        <f t="shared" si="1"/>
        <v>215</v>
      </c>
      <c r="M14" s="145">
        <f t="shared" si="2"/>
        <v>197</v>
      </c>
      <c r="N14" s="156">
        <f t="shared" si="3"/>
        <v>137</v>
      </c>
      <c r="P14" s="179">
        <f t="shared" si="4"/>
        <v>209.66666666666666</v>
      </c>
      <c r="Q14" s="156">
        <f t="shared" si="5"/>
        <v>4</v>
      </c>
    </row>
    <row r="15" spans="1:17" ht="18">
      <c r="A15" s="96">
        <f t="shared" si="6"/>
        <v>13</v>
      </c>
      <c r="B15" s="92">
        <v>2616</v>
      </c>
      <c r="C15" s="139" t="s">
        <v>155</v>
      </c>
      <c r="D15" s="176" t="s">
        <v>95</v>
      </c>
      <c r="E15" s="266"/>
      <c r="F15" s="166">
        <f>SUMIF('Local Comp Scores'!$D$6:$D$30,C15,'Local Comp Scores'!$E$6:$E$30)</f>
        <v>62</v>
      </c>
      <c r="G15" s="145">
        <f>SUMIF('Local Comp Scores'!$D$31:$D$56,$C15,'Local Comp Scores'!$E$31:$E$56)</f>
        <v>58</v>
      </c>
      <c r="H15" s="145">
        <f>SUMIF('Local Comp Scores'!$D$59:$D$83,$C15,'Local Comp Scores'!$E$59:$E$83)</f>
        <v>49</v>
      </c>
      <c r="I15" s="156">
        <f>SUMIF('Local Comp Scores'!$D$84:$D$109,$C15,'Local Comp Scores'!$E$84:$E$109)</f>
        <v>102</v>
      </c>
      <c r="K15" s="166">
        <f t="shared" si="0"/>
        <v>102</v>
      </c>
      <c r="L15" s="145">
        <f t="shared" si="1"/>
        <v>62</v>
      </c>
      <c r="M15" s="145">
        <f t="shared" si="2"/>
        <v>58</v>
      </c>
      <c r="N15" s="156">
        <f t="shared" si="3"/>
        <v>49</v>
      </c>
      <c r="P15" s="179">
        <f t="shared" si="4"/>
        <v>74</v>
      </c>
      <c r="Q15" s="156">
        <f t="shared" si="5"/>
        <v>16</v>
      </c>
    </row>
    <row r="16" spans="1:17" ht="25.5">
      <c r="A16" s="96">
        <f t="shared" si="6"/>
        <v>14</v>
      </c>
      <c r="B16" s="92">
        <v>2764</v>
      </c>
      <c r="C16" s="173" t="s">
        <v>96</v>
      </c>
      <c r="D16" s="176" t="s">
        <v>97</v>
      </c>
      <c r="E16" s="265"/>
      <c r="F16" s="166">
        <f>SUMIF('Local Comp Scores'!$D$6:$D$30,C16,'Local Comp Scores'!$E$6:$E$30)</f>
        <v>58</v>
      </c>
      <c r="G16" s="145">
        <f>SUMIF('Local Comp Scores'!$D$31:$D$56,$C16,'Local Comp Scores'!$E$31:$E$56)</f>
        <v>157</v>
      </c>
      <c r="H16" s="145">
        <f>SUMIF('Local Comp Scores'!$D$59:$D$83,$C16,'Local Comp Scores'!$E$59:$E$83)</f>
        <v>183</v>
      </c>
      <c r="I16" s="156">
        <f>SUMIF('Local Comp Scores'!$D$84:$D$109,$C16,'Local Comp Scores'!$E$84:$E$109)</f>
        <v>183</v>
      </c>
      <c r="K16" s="166">
        <f t="shared" si="0"/>
        <v>183</v>
      </c>
      <c r="L16" s="145">
        <f t="shared" si="1"/>
        <v>183</v>
      </c>
      <c r="M16" s="145">
        <f t="shared" si="2"/>
        <v>157</v>
      </c>
      <c r="N16" s="156">
        <f t="shared" si="3"/>
        <v>58</v>
      </c>
      <c r="P16" s="179">
        <f t="shared" si="4"/>
        <v>174.33333333333334</v>
      </c>
      <c r="Q16" s="156">
        <f t="shared" si="5"/>
        <v>5</v>
      </c>
    </row>
    <row r="17" spans="1:17" ht="18">
      <c r="A17" s="96">
        <f t="shared" si="6"/>
        <v>15</v>
      </c>
      <c r="B17" s="92">
        <v>592</v>
      </c>
      <c r="C17" s="139" t="s">
        <v>82</v>
      </c>
      <c r="D17" s="176" t="s">
        <v>67</v>
      </c>
      <c r="E17" s="266"/>
      <c r="F17" s="166">
        <f>SUMIF('Local Comp Scores'!$D$6:$D$30,C17,'Local Comp Scores'!$E$6:$E$30)</f>
        <v>72</v>
      </c>
      <c r="G17" s="145">
        <f>SUMIF('Local Comp Scores'!$D$31:$D$56,$C17,'Local Comp Scores'!$E$31:$E$56)</f>
        <v>270</v>
      </c>
      <c r="H17" s="145">
        <f>SUMIF('Local Comp Scores'!$D$59:$D$83,$C17,'Local Comp Scores'!$E$59:$E$83)</f>
        <v>273</v>
      </c>
      <c r="I17" s="156">
        <f>SUMIF('Local Comp Scores'!$D$84:$D$109,$C17,'Local Comp Scores'!$E$84:$E$109)</f>
        <v>239</v>
      </c>
      <c r="K17" s="166">
        <f t="shared" si="0"/>
        <v>273</v>
      </c>
      <c r="L17" s="145">
        <f t="shared" si="1"/>
        <v>270</v>
      </c>
      <c r="M17" s="145">
        <f t="shared" si="2"/>
        <v>239</v>
      </c>
      <c r="N17" s="156">
        <f t="shared" si="3"/>
        <v>72</v>
      </c>
      <c r="P17" s="179">
        <f t="shared" si="4"/>
        <v>260.6666666666667</v>
      </c>
      <c r="Q17" s="156">
        <f t="shared" si="5"/>
        <v>1</v>
      </c>
    </row>
    <row r="18" spans="1:17" ht="18">
      <c r="A18" s="96">
        <f t="shared" si="6"/>
        <v>16</v>
      </c>
      <c r="B18" s="92">
        <v>2546</v>
      </c>
      <c r="C18" s="173" t="s">
        <v>283</v>
      </c>
      <c r="D18" s="176" t="s">
        <v>102</v>
      </c>
      <c r="E18" s="265"/>
      <c r="F18" s="166">
        <f>SUMIF('Local Comp Scores'!$D$6:$D$30,C18,'Local Comp Scores'!$E$6:$E$30)</f>
        <v>16</v>
      </c>
      <c r="G18" s="145">
        <f>SUMIF('Local Comp Scores'!$D$31:$D$56,$C18,'Local Comp Scores'!$E$31:$E$56)</f>
        <v>109</v>
      </c>
      <c r="H18" s="145">
        <f>SUMIF('Local Comp Scores'!$D$59:$D$83,$C18,'Local Comp Scores'!$E$59:$E$83)</f>
        <v>58</v>
      </c>
      <c r="I18" s="156">
        <f>SUMIF('Local Comp Scores'!$D$84:$D$109,$C18,'Local Comp Scores'!$E$84:$E$109)</f>
        <v>60</v>
      </c>
      <c r="K18" s="166">
        <f t="shared" si="0"/>
        <v>109</v>
      </c>
      <c r="L18" s="145">
        <f t="shared" si="1"/>
        <v>60</v>
      </c>
      <c r="M18" s="145">
        <f t="shared" si="2"/>
        <v>58</v>
      </c>
      <c r="N18" s="156">
        <f t="shared" si="3"/>
        <v>16</v>
      </c>
      <c r="P18" s="179">
        <f t="shared" si="4"/>
        <v>75.66666666666667</v>
      </c>
      <c r="Q18" s="156">
        <f t="shared" si="5"/>
        <v>15</v>
      </c>
    </row>
    <row r="19" spans="1:17" ht="18.75" thickBot="1">
      <c r="A19" s="98">
        <f t="shared" si="6"/>
        <v>17</v>
      </c>
      <c r="B19" s="99">
        <v>591</v>
      </c>
      <c r="C19" s="139" t="s">
        <v>83</v>
      </c>
      <c r="D19" s="177" t="s">
        <v>84</v>
      </c>
      <c r="E19" s="266"/>
      <c r="F19" s="168">
        <f>SUMIF('Local Comp Scores'!$D$6:$D$30,C19,'Local Comp Scores'!$E$6:$E$30)</f>
        <v>274</v>
      </c>
      <c r="G19" s="160">
        <f>SUMIF('Local Comp Scores'!$D$31:$D$56,$C19,'Local Comp Scores'!$E$31:$E$56)</f>
        <v>254</v>
      </c>
      <c r="H19" s="160">
        <f>SUMIF('Local Comp Scores'!$D$59:$D$83,$C19,'Local Comp Scores'!$E$59:$E$83)</f>
        <v>94</v>
      </c>
      <c r="I19" s="163">
        <f>SUMIF('Local Comp Scores'!$D$84:$D$109,$C19,'Local Comp Scores'!$E$84:$E$109)</f>
        <v>197</v>
      </c>
      <c r="K19" s="168">
        <f t="shared" si="0"/>
        <v>274</v>
      </c>
      <c r="L19" s="160">
        <f t="shared" si="1"/>
        <v>254</v>
      </c>
      <c r="M19" s="160">
        <f t="shared" si="2"/>
        <v>197</v>
      </c>
      <c r="N19" s="163">
        <f t="shared" si="3"/>
        <v>94</v>
      </c>
      <c r="P19" s="180">
        <f t="shared" si="4"/>
        <v>241.66666666666666</v>
      </c>
      <c r="Q19" s="163">
        <f t="shared" si="5"/>
        <v>2</v>
      </c>
    </row>
    <row r="20" ht="13.5" thickBot="1"/>
    <row r="21" spans="2:14" ht="31.5" customHeight="1" thickBot="1">
      <c r="B21" s="325" t="s">
        <v>233</v>
      </c>
      <c r="C21" s="326"/>
      <c r="D21" s="327"/>
      <c r="I21" s="320" t="s">
        <v>234</v>
      </c>
      <c r="J21" s="321"/>
      <c r="K21" s="321"/>
      <c r="L21" s="322" t="s">
        <v>241</v>
      </c>
      <c r="M21" s="323"/>
      <c r="N21" s="324"/>
    </row>
    <row r="22" spans="2:14" ht="12.75">
      <c r="B22" s="217">
        <v>1</v>
      </c>
      <c r="C22" s="171" t="s">
        <v>92</v>
      </c>
      <c r="D22" s="172">
        <v>349</v>
      </c>
      <c r="I22" s="217">
        <v>1</v>
      </c>
      <c r="J22" s="171" t="s">
        <v>82</v>
      </c>
      <c r="K22" s="261">
        <v>260.6666666666667</v>
      </c>
      <c r="L22" s="151">
        <v>273</v>
      </c>
      <c r="M22" s="164">
        <v>270</v>
      </c>
      <c r="N22" s="165">
        <v>239</v>
      </c>
    </row>
    <row r="23" spans="2:14" ht="12.75">
      <c r="B23" s="215">
        <v>2</v>
      </c>
      <c r="C23" s="145" t="s">
        <v>83</v>
      </c>
      <c r="D23" s="156">
        <v>274</v>
      </c>
      <c r="I23" s="215">
        <v>2</v>
      </c>
      <c r="J23" s="145" t="s">
        <v>83</v>
      </c>
      <c r="K23" s="262">
        <v>241.66666666666666</v>
      </c>
      <c r="L23" s="166">
        <v>274</v>
      </c>
      <c r="M23" s="145">
        <v>254</v>
      </c>
      <c r="N23" s="156">
        <v>197</v>
      </c>
    </row>
    <row r="24" spans="2:14" ht="12.75">
      <c r="B24" s="215">
        <v>3</v>
      </c>
      <c r="C24" s="145" t="s">
        <v>82</v>
      </c>
      <c r="D24" s="156">
        <v>273</v>
      </c>
      <c r="I24" s="215">
        <v>3</v>
      </c>
      <c r="J24" s="145" t="s">
        <v>92</v>
      </c>
      <c r="K24" s="262">
        <v>230.33333333333334</v>
      </c>
      <c r="L24" s="166">
        <v>349</v>
      </c>
      <c r="M24" s="145">
        <v>200</v>
      </c>
      <c r="N24" s="156">
        <v>142</v>
      </c>
    </row>
    <row r="25" spans="2:14" ht="12.75">
      <c r="B25" s="215">
        <v>4</v>
      </c>
      <c r="C25" s="145" t="s">
        <v>150</v>
      </c>
      <c r="D25" s="156">
        <v>217</v>
      </c>
      <c r="I25" s="215">
        <v>4</v>
      </c>
      <c r="J25" s="145" t="s">
        <v>150</v>
      </c>
      <c r="K25" s="262">
        <v>209.66666666666666</v>
      </c>
      <c r="L25" s="166">
        <v>217</v>
      </c>
      <c r="M25" s="145">
        <v>215</v>
      </c>
      <c r="N25" s="156">
        <v>197</v>
      </c>
    </row>
    <row r="26" spans="2:14" ht="12.75">
      <c r="B26" s="215">
        <v>5</v>
      </c>
      <c r="C26" s="145" t="s">
        <v>282</v>
      </c>
      <c r="D26" s="156">
        <v>188</v>
      </c>
      <c r="I26" s="215">
        <v>5</v>
      </c>
      <c r="J26" s="145" t="s">
        <v>96</v>
      </c>
      <c r="K26" s="262">
        <v>174.33333333333334</v>
      </c>
      <c r="L26" s="166">
        <v>183</v>
      </c>
      <c r="M26" s="145">
        <v>183</v>
      </c>
      <c r="N26" s="156">
        <v>157</v>
      </c>
    </row>
    <row r="27" spans="2:14" ht="12.75">
      <c r="B27" s="215">
        <v>6</v>
      </c>
      <c r="C27" s="145" t="s">
        <v>96</v>
      </c>
      <c r="D27" s="156">
        <v>183</v>
      </c>
      <c r="I27" s="215">
        <v>6</v>
      </c>
      <c r="J27" s="145" t="s">
        <v>88</v>
      </c>
      <c r="K27" s="262">
        <v>157.66666666666666</v>
      </c>
      <c r="L27" s="166">
        <v>161</v>
      </c>
      <c r="M27" s="145">
        <v>161</v>
      </c>
      <c r="N27" s="156">
        <v>151</v>
      </c>
    </row>
    <row r="28" spans="2:14" ht="12.75">
      <c r="B28" s="215">
        <v>7</v>
      </c>
      <c r="C28" s="145" t="s">
        <v>154</v>
      </c>
      <c r="D28" s="156">
        <v>171</v>
      </c>
      <c r="I28" s="215">
        <v>7</v>
      </c>
      <c r="J28" s="145" t="s">
        <v>282</v>
      </c>
      <c r="K28" s="262">
        <v>156</v>
      </c>
      <c r="L28" s="166">
        <v>188</v>
      </c>
      <c r="M28" s="145">
        <v>157</v>
      </c>
      <c r="N28" s="156">
        <v>123</v>
      </c>
    </row>
    <row r="29" spans="2:14" ht="12.75">
      <c r="B29" s="215">
        <v>8</v>
      </c>
      <c r="C29" s="145" t="s">
        <v>88</v>
      </c>
      <c r="D29" s="156">
        <v>161</v>
      </c>
      <c r="I29" s="215">
        <v>8</v>
      </c>
      <c r="J29" s="145" t="s">
        <v>154</v>
      </c>
      <c r="K29" s="262">
        <v>141</v>
      </c>
      <c r="L29" s="166">
        <v>171</v>
      </c>
      <c r="M29" s="145">
        <v>140</v>
      </c>
      <c r="N29" s="156">
        <v>112</v>
      </c>
    </row>
    <row r="30" spans="2:14" ht="12.75">
      <c r="B30" s="215">
        <v>9</v>
      </c>
      <c r="C30" s="145" t="s">
        <v>151</v>
      </c>
      <c r="D30" s="156">
        <v>159</v>
      </c>
      <c r="I30" s="215">
        <v>9</v>
      </c>
      <c r="J30" s="145" t="s">
        <v>153</v>
      </c>
      <c r="K30" s="262">
        <v>130.33333333333334</v>
      </c>
      <c r="L30" s="166">
        <v>142</v>
      </c>
      <c r="M30" s="145">
        <v>135</v>
      </c>
      <c r="N30" s="156">
        <v>114</v>
      </c>
    </row>
    <row r="31" spans="2:14" ht="12.75">
      <c r="B31" s="215">
        <v>10</v>
      </c>
      <c r="C31" s="145" t="s">
        <v>153</v>
      </c>
      <c r="D31" s="156">
        <v>142</v>
      </c>
      <c r="I31" s="215">
        <v>10</v>
      </c>
      <c r="J31" s="145" t="s">
        <v>151</v>
      </c>
      <c r="K31" s="262">
        <v>126.33333333333333</v>
      </c>
      <c r="L31" s="166">
        <v>159</v>
      </c>
      <c r="M31" s="145">
        <v>112</v>
      </c>
      <c r="N31" s="156">
        <v>108</v>
      </c>
    </row>
    <row r="32" spans="2:14" ht="12.75">
      <c r="B32" s="215">
        <v>11</v>
      </c>
      <c r="C32" s="145" t="s">
        <v>98</v>
      </c>
      <c r="D32" s="156">
        <v>127</v>
      </c>
      <c r="I32" s="215">
        <v>11</v>
      </c>
      <c r="J32" s="145" t="s">
        <v>152</v>
      </c>
      <c r="K32" s="262">
        <v>96</v>
      </c>
      <c r="L32" s="166">
        <v>126</v>
      </c>
      <c r="M32" s="145">
        <v>86</v>
      </c>
      <c r="N32" s="156">
        <v>76</v>
      </c>
    </row>
    <row r="33" spans="2:14" ht="12.75">
      <c r="B33" s="215">
        <v>12</v>
      </c>
      <c r="C33" s="145" t="s">
        <v>152</v>
      </c>
      <c r="D33" s="156">
        <v>126</v>
      </c>
      <c r="I33" s="215">
        <v>12</v>
      </c>
      <c r="J33" s="145" t="s">
        <v>86</v>
      </c>
      <c r="K33" s="262">
        <v>88.66666666666667</v>
      </c>
      <c r="L33" s="166">
        <v>107</v>
      </c>
      <c r="M33" s="145">
        <v>87</v>
      </c>
      <c r="N33" s="156">
        <v>72</v>
      </c>
    </row>
    <row r="34" spans="2:14" ht="12.75">
      <c r="B34" s="215">
        <v>13</v>
      </c>
      <c r="C34" s="145" t="s">
        <v>283</v>
      </c>
      <c r="D34" s="156">
        <v>109</v>
      </c>
      <c r="I34" s="215">
        <v>13</v>
      </c>
      <c r="J34" s="145" t="s">
        <v>141</v>
      </c>
      <c r="K34" s="262">
        <v>83</v>
      </c>
      <c r="L34" s="166">
        <v>90</v>
      </c>
      <c r="M34" s="145">
        <v>85</v>
      </c>
      <c r="N34" s="156">
        <v>74</v>
      </c>
    </row>
    <row r="35" spans="2:14" ht="12.75">
      <c r="B35" s="215">
        <v>14</v>
      </c>
      <c r="C35" s="145" t="s">
        <v>86</v>
      </c>
      <c r="D35" s="156">
        <v>107</v>
      </c>
      <c r="I35" s="215">
        <v>14</v>
      </c>
      <c r="J35" s="145" t="s">
        <v>98</v>
      </c>
      <c r="K35" s="262">
        <v>80</v>
      </c>
      <c r="L35" s="166">
        <v>127</v>
      </c>
      <c r="M35" s="145">
        <v>71</v>
      </c>
      <c r="N35" s="156">
        <v>42</v>
      </c>
    </row>
    <row r="36" spans="2:14" ht="12.75">
      <c r="B36" s="215">
        <v>15</v>
      </c>
      <c r="C36" s="145" t="s">
        <v>155</v>
      </c>
      <c r="D36" s="156">
        <v>102</v>
      </c>
      <c r="I36" s="215">
        <v>15</v>
      </c>
      <c r="J36" s="145" t="s">
        <v>283</v>
      </c>
      <c r="K36" s="262">
        <v>75.66666666666667</v>
      </c>
      <c r="L36" s="166">
        <v>109</v>
      </c>
      <c r="M36" s="145">
        <v>60</v>
      </c>
      <c r="N36" s="156">
        <v>58</v>
      </c>
    </row>
    <row r="37" spans="2:14" ht="12.75">
      <c r="B37" s="215">
        <v>16</v>
      </c>
      <c r="C37" s="145" t="s">
        <v>141</v>
      </c>
      <c r="D37" s="156">
        <v>90</v>
      </c>
      <c r="I37" s="215">
        <v>16</v>
      </c>
      <c r="J37" s="145" t="s">
        <v>155</v>
      </c>
      <c r="K37" s="262">
        <v>74</v>
      </c>
      <c r="L37" s="166">
        <v>102</v>
      </c>
      <c r="M37" s="145">
        <v>62</v>
      </c>
      <c r="N37" s="156">
        <v>58</v>
      </c>
    </row>
    <row r="38" spans="2:14" ht="13.5" thickBot="1">
      <c r="B38" s="216">
        <v>17</v>
      </c>
      <c r="C38" s="160" t="s">
        <v>148</v>
      </c>
      <c r="D38" s="163">
        <v>77</v>
      </c>
      <c r="I38" s="216">
        <v>17</v>
      </c>
      <c r="J38" s="160" t="s">
        <v>148</v>
      </c>
      <c r="K38" s="263">
        <v>44.333333333333336</v>
      </c>
      <c r="L38" s="168">
        <v>77</v>
      </c>
      <c r="M38" s="160">
        <v>32</v>
      </c>
      <c r="N38" s="163">
        <v>24</v>
      </c>
    </row>
    <row r="39" spans="6:7" ht="12.75">
      <c r="F39" s="301" t="s">
        <v>255</v>
      </c>
      <c r="G39" s="302"/>
    </row>
    <row r="40" spans="5:17" ht="12.75">
      <c r="E40" s="73"/>
      <c r="F40" s="302"/>
      <c r="G40" s="302"/>
      <c r="P40" s="73"/>
      <c r="Q40"/>
    </row>
    <row r="41" spans="5:17" ht="12.75">
      <c r="E41" s="73"/>
      <c r="F41" s="302"/>
      <c r="G41" s="302"/>
      <c r="P41" s="73"/>
      <c r="Q41"/>
    </row>
    <row r="42" spans="5:17" ht="12.75">
      <c r="E42" s="73"/>
      <c r="F42" s="302"/>
      <c r="G42" s="302"/>
      <c r="P42" s="73"/>
      <c r="Q42"/>
    </row>
    <row r="43" spans="5:17" ht="12.75">
      <c r="E43" s="73"/>
      <c r="F43" s="302"/>
      <c r="G43" s="302"/>
      <c r="P43" s="73"/>
      <c r="Q43"/>
    </row>
    <row r="44" spans="5:17" ht="12.75">
      <c r="E44" s="73"/>
      <c r="F44" s="302"/>
      <c r="G44" s="302"/>
      <c r="P44" s="73"/>
      <c r="Q44"/>
    </row>
    <row r="45" spans="5:17" ht="12.75">
      <c r="E45" s="73"/>
      <c r="F45" s="302"/>
      <c r="G45" s="302"/>
      <c r="P45" s="73"/>
      <c r="Q45"/>
    </row>
    <row r="46" spans="5:17" ht="12.75">
      <c r="E46" s="73"/>
      <c r="F46" s="302"/>
      <c r="G46" s="302"/>
      <c r="P46" s="73"/>
      <c r="Q46"/>
    </row>
    <row r="47" spans="5:17" ht="12.75">
      <c r="E47" s="73"/>
      <c r="F47" s="302"/>
      <c r="G47" s="302"/>
      <c r="P47" s="73"/>
      <c r="Q47"/>
    </row>
    <row r="48" spans="5:17" ht="12.75">
      <c r="E48" s="73"/>
      <c r="F48" s="302"/>
      <c r="G48" s="302"/>
      <c r="P48" s="73"/>
      <c r="Q48"/>
    </row>
    <row r="49" spans="5:17" ht="12.75">
      <c r="E49" s="73"/>
      <c r="F49" s="302"/>
      <c r="G49" s="302"/>
      <c r="P49" s="73"/>
      <c r="Q49"/>
    </row>
    <row r="50" spans="5:17" ht="12.75">
      <c r="E50" s="73"/>
      <c r="F50" s="302"/>
      <c r="G50" s="302"/>
      <c r="P50" s="73"/>
      <c r="Q50"/>
    </row>
    <row r="51" spans="5:17" ht="12.75">
      <c r="E51" s="73"/>
      <c r="F51" s="302"/>
      <c r="G51" s="302"/>
      <c r="P51" s="73"/>
      <c r="Q51"/>
    </row>
    <row r="52" spans="5:17" ht="12.75">
      <c r="E52" s="73"/>
      <c r="F52" s="302"/>
      <c r="G52" s="302"/>
      <c r="P52" s="73"/>
      <c r="Q52"/>
    </row>
    <row r="53" spans="5:17" ht="12.75">
      <c r="E53" s="73"/>
      <c r="F53"/>
      <c r="P53" s="73"/>
      <c r="Q53"/>
    </row>
    <row r="54" spans="5:17" ht="12.75">
      <c r="E54" s="73"/>
      <c r="F54"/>
      <c r="P54" s="73"/>
      <c r="Q54"/>
    </row>
    <row r="55" spans="5:17" ht="12.75">
      <c r="E55" s="73"/>
      <c r="F55"/>
      <c r="P55" s="73"/>
      <c r="Q55"/>
    </row>
    <row r="56" spans="5:17" ht="12.75">
      <c r="E56" s="73"/>
      <c r="F56"/>
      <c r="P56" s="73"/>
      <c r="Q56"/>
    </row>
    <row r="57" spans="5:17" ht="12.75">
      <c r="E57" s="73"/>
      <c r="F57"/>
      <c r="P57" s="73"/>
      <c r="Q57"/>
    </row>
    <row r="58" spans="5:17" ht="12.75">
      <c r="E58" s="73"/>
      <c r="F58"/>
      <c r="P58" s="73"/>
      <c r="Q58"/>
    </row>
    <row r="59" spans="5:17" ht="12.75">
      <c r="E59" s="73"/>
      <c r="F59"/>
      <c r="P59" s="73"/>
      <c r="Q59"/>
    </row>
    <row r="60" spans="5:17" ht="12.75">
      <c r="E60" s="73"/>
      <c r="F60"/>
      <c r="P60" s="73"/>
      <c r="Q60"/>
    </row>
    <row r="61" spans="5:17" ht="12.75">
      <c r="E61" s="73"/>
      <c r="F61"/>
      <c r="P61" s="73"/>
      <c r="Q61"/>
    </row>
    <row r="62" spans="5:17" ht="12.75">
      <c r="E62" s="73"/>
      <c r="F62"/>
      <c r="P62" s="73"/>
      <c r="Q62"/>
    </row>
    <row r="63" spans="5:17" ht="12.75">
      <c r="E63" s="73"/>
      <c r="F63"/>
      <c r="P63" s="73"/>
      <c r="Q63"/>
    </row>
    <row r="64" spans="5:17" ht="12.75">
      <c r="E64" s="73"/>
      <c r="F64"/>
      <c r="P64" s="73"/>
      <c r="Q64"/>
    </row>
    <row r="65" spans="5:17" ht="12.75">
      <c r="E65" s="73"/>
      <c r="F65"/>
      <c r="P65" s="73"/>
      <c r="Q65"/>
    </row>
    <row r="66" spans="5:17" ht="12.75">
      <c r="E66" s="73"/>
      <c r="F66"/>
      <c r="P66" s="73"/>
      <c r="Q66"/>
    </row>
    <row r="67" spans="5:17" ht="12.75">
      <c r="E67" s="73"/>
      <c r="F67"/>
      <c r="P67" s="73"/>
      <c r="Q67"/>
    </row>
    <row r="68" spans="5:17" ht="12.75">
      <c r="E68" s="73"/>
      <c r="F68"/>
      <c r="P68" s="73"/>
      <c r="Q68"/>
    </row>
    <row r="69" spans="5:17" ht="12.75">
      <c r="E69" s="73"/>
      <c r="F69"/>
      <c r="P69" s="73"/>
      <c r="Q69"/>
    </row>
    <row r="70" spans="5:17" ht="12.75">
      <c r="E70" s="73"/>
      <c r="F70"/>
      <c r="P70" s="73"/>
      <c r="Q70"/>
    </row>
    <row r="71" spans="5:17" ht="12.75">
      <c r="E71" s="73"/>
      <c r="F71"/>
      <c r="P71" s="73"/>
      <c r="Q71"/>
    </row>
    <row r="72" spans="5:17" ht="12.75">
      <c r="E72" s="73"/>
      <c r="F72"/>
      <c r="P72" s="73"/>
      <c r="Q72"/>
    </row>
    <row r="73" spans="5:17" ht="12.75">
      <c r="E73" s="73"/>
      <c r="F73"/>
      <c r="P73" s="73"/>
      <c r="Q73"/>
    </row>
    <row r="74" spans="5:17" ht="12.75">
      <c r="E74" s="73"/>
      <c r="F74"/>
      <c r="P74" s="73"/>
      <c r="Q74"/>
    </row>
    <row r="75" spans="5:17" ht="12.75">
      <c r="E75" s="73"/>
      <c r="F75"/>
      <c r="P75" s="73"/>
      <c r="Q75"/>
    </row>
    <row r="76" spans="5:17" ht="12.75">
      <c r="E76" s="73"/>
      <c r="F76"/>
      <c r="P76" s="73"/>
      <c r="Q76"/>
    </row>
    <row r="77" spans="5:17" ht="12.75">
      <c r="E77" s="73"/>
      <c r="F77"/>
      <c r="P77" s="73"/>
      <c r="Q77"/>
    </row>
    <row r="78" spans="5:17" ht="12.75">
      <c r="E78" s="73"/>
      <c r="F78"/>
      <c r="P78" s="73"/>
      <c r="Q78"/>
    </row>
    <row r="79" spans="5:17" ht="12.75">
      <c r="E79" s="73"/>
      <c r="F79"/>
      <c r="P79" s="73"/>
      <c r="Q79"/>
    </row>
    <row r="80" spans="5:17" ht="12.75">
      <c r="E80" s="73"/>
      <c r="F80"/>
      <c r="P80" s="73"/>
      <c r="Q80"/>
    </row>
    <row r="81" spans="5:17" ht="12.75">
      <c r="E81" s="73"/>
      <c r="F81"/>
      <c r="P81" s="73"/>
      <c r="Q81"/>
    </row>
    <row r="82" spans="5:17" ht="12.75">
      <c r="E82" s="73"/>
      <c r="F82"/>
      <c r="P82" s="73"/>
      <c r="Q82"/>
    </row>
    <row r="83" spans="5:17" ht="12.75">
      <c r="E83" s="73"/>
      <c r="F83"/>
      <c r="P83" s="73"/>
      <c r="Q83"/>
    </row>
    <row r="84" spans="5:17" ht="12.75">
      <c r="E84" s="73"/>
      <c r="F84"/>
      <c r="P84" s="73"/>
      <c r="Q84"/>
    </row>
    <row r="85" spans="5:17" ht="12.75">
      <c r="E85" s="73"/>
      <c r="F85"/>
      <c r="P85" s="73"/>
      <c r="Q85"/>
    </row>
    <row r="86" spans="5:17" ht="12.75">
      <c r="E86" s="73"/>
      <c r="F86"/>
      <c r="P86" s="73"/>
      <c r="Q86"/>
    </row>
    <row r="87" spans="5:17" ht="12.75">
      <c r="E87" s="73"/>
      <c r="F87"/>
      <c r="P87" s="73"/>
      <c r="Q87"/>
    </row>
    <row r="88" spans="5:17" ht="12.75">
      <c r="E88" s="73"/>
      <c r="F88"/>
      <c r="P88" s="73"/>
      <c r="Q88"/>
    </row>
    <row r="89" spans="5:17" ht="12.75">
      <c r="E89" s="73"/>
      <c r="F89"/>
      <c r="P89" s="73"/>
      <c r="Q89"/>
    </row>
    <row r="90" spans="5:17" ht="12.75">
      <c r="E90" s="73"/>
      <c r="F90"/>
      <c r="P90" s="73"/>
      <c r="Q90"/>
    </row>
    <row r="91" spans="5:17" ht="12.75">
      <c r="E91" s="73"/>
      <c r="F91"/>
      <c r="P91" s="73"/>
      <c r="Q91"/>
    </row>
    <row r="92" spans="5:17" ht="12.75">
      <c r="E92" s="73"/>
      <c r="F92"/>
      <c r="P92" s="73"/>
      <c r="Q92"/>
    </row>
    <row r="93" spans="5:17" ht="12.75">
      <c r="E93" s="73"/>
      <c r="F93"/>
      <c r="P93" s="73"/>
      <c r="Q93"/>
    </row>
    <row r="94" spans="5:17" ht="12.75">
      <c r="E94" s="73"/>
      <c r="F94"/>
      <c r="P94" s="73"/>
      <c r="Q94"/>
    </row>
    <row r="95" spans="5:17" ht="12.75">
      <c r="E95" s="73"/>
      <c r="F95"/>
      <c r="P95" s="73"/>
      <c r="Q95"/>
    </row>
    <row r="96" spans="5:17" ht="12.75">
      <c r="E96" s="73"/>
      <c r="F96"/>
      <c r="P96" s="73"/>
      <c r="Q96"/>
    </row>
    <row r="97" spans="5:17" ht="12.75">
      <c r="E97" s="73"/>
      <c r="F97"/>
      <c r="P97" s="73"/>
      <c r="Q97"/>
    </row>
    <row r="98" spans="5:17" ht="12.75">
      <c r="E98" s="73"/>
      <c r="F98"/>
      <c r="P98" s="73"/>
      <c r="Q98"/>
    </row>
    <row r="99" spans="5:17" ht="12.75">
      <c r="E99" s="73"/>
      <c r="F99"/>
      <c r="P99" s="73"/>
      <c r="Q99"/>
    </row>
    <row r="100" spans="5:17" ht="12.75">
      <c r="E100" s="73"/>
      <c r="F100"/>
      <c r="P100" s="73"/>
      <c r="Q100"/>
    </row>
    <row r="101" spans="5:17" ht="12.75">
      <c r="E101" s="73"/>
      <c r="F101"/>
      <c r="P101" s="73"/>
      <c r="Q101"/>
    </row>
    <row r="102" spans="5:17" ht="12.75">
      <c r="E102" s="73"/>
      <c r="F102"/>
      <c r="P102" s="73"/>
      <c r="Q102"/>
    </row>
    <row r="103" spans="5:17" ht="12.75">
      <c r="E103" s="73"/>
      <c r="F103"/>
      <c r="P103" s="73"/>
      <c r="Q103"/>
    </row>
    <row r="104" spans="5:17" ht="12.75">
      <c r="E104" s="73"/>
      <c r="F104"/>
      <c r="P104" s="73"/>
      <c r="Q104"/>
    </row>
    <row r="105" spans="5:17" ht="12.75">
      <c r="E105" s="73"/>
      <c r="F105"/>
      <c r="P105" s="73"/>
      <c r="Q105"/>
    </row>
    <row r="106" spans="5:17" ht="12.75">
      <c r="E106" s="73"/>
      <c r="F106"/>
      <c r="P106" s="73"/>
      <c r="Q106"/>
    </row>
    <row r="107" spans="5:17" ht="12.75">
      <c r="E107" s="73"/>
      <c r="F107"/>
      <c r="P107" s="73"/>
      <c r="Q107"/>
    </row>
    <row r="108" spans="5:17" ht="12.75">
      <c r="E108" s="73"/>
      <c r="F108"/>
      <c r="P108" s="73"/>
      <c r="Q108"/>
    </row>
    <row r="109" spans="5:17" ht="12.75">
      <c r="E109" s="73"/>
      <c r="F109"/>
      <c r="P109" s="73"/>
      <c r="Q109"/>
    </row>
    <row r="110" spans="5:17" ht="12.75">
      <c r="E110" s="73"/>
      <c r="F110"/>
      <c r="P110" s="73"/>
      <c r="Q110"/>
    </row>
    <row r="111" spans="5:17" ht="12.75">
      <c r="E111" s="73"/>
      <c r="F111"/>
      <c r="P111" s="73"/>
      <c r="Q111"/>
    </row>
    <row r="112" spans="5:17" ht="12.75">
      <c r="E112" s="73"/>
      <c r="F112"/>
      <c r="P112" s="73"/>
      <c r="Q112"/>
    </row>
    <row r="113" spans="5:17" ht="12.75">
      <c r="E113" s="73"/>
      <c r="F113"/>
      <c r="P113" s="73"/>
      <c r="Q113"/>
    </row>
    <row r="114" spans="5:17" ht="12.75">
      <c r="E114" s="73"/>
      <c r="F114"/>
      <c r="P114" s="73"/>
      <c r="Q114"/>
    </row>
    <row r="115" spans="5:17" ht="12.75">
      <c r="E115" s="73"/>
      <c r="F115"/>
      <c r="P115" s="73"/>
      <c r="Q115"/>
    </row>
    <row r="116" spans="5:17" ht="12.75">
      <c r="E116" s="73"/>
      <c r="F116"/>
      <c r="P116" s="73"/>
      <c r="Q116"/>
    </row>
    <row r="117" spans="5:17" ht="12.75">
      <c r="E117" s="73"/>
      <c r="F117"/>
      <c r="P117" s="73"/>
      <c r="Q117"/>
    </row>
    <row r="118" spans="5:17" ht="12.75">
      <c r="E118" s="73"/>
      <c r="F118"/>
      <c r="P118" s="73"/>
      <c r="Q118"/>
    </row>
    <row r="119" spans="5:17" ht="12.75">
      <c r="E119" s="73"/>
      <c r="F119"/>
      <c r="P119" s="73"/>
      <c r="Q119"/>
    </row>
    <row r="120" spans="5:17" ht="12.75">
      <c r="E120" s="73"/>
      <c r="F120"/>
      <c r="P120" s="73"/>
      <c r="Q120"/>
    </row>
    <row r="121" spans="5:17" ht="12.75">
      <c r="E121" s="73"/>
      <c r="F121"/>
      <c r="P121" s="73"/>
      <c r="Q121"/>
    </row>
    <row r="122" spans="5:17" ht="12.75">
      <c r="E122" s="73"/>
      <c r="F122"/>
      <c r="P122" s="73"/>
      <c r="Q122"/>
    </row>
    <row r="123" spans="5:17" ht="12.75">
      <c r="E123" s="73"/>
      <c r="F123"/>
      <c r="P123" s="73"/>
      <c r="Q123"/>
    </row>
    <row r="124" spans="5:17" ht="12.75">
      <c r="E124" s="73"/>
      <c r="F124"/>
      <c r="P124" s="73"/>
      <c r="Q124"/>
    </row>
    <row r="125" spans="5:17" ht="12.75">
      <c r="E125" s="73"/>
      <c r="F125"/>
      <c r="P125" s="73"/>
      <c r="Q125"/>
    </row>
    <row r="126" spans="5:17" ht="12.75">
      <c r="E126" s="73"/>
      <c r="F126"/>
      <c r="P126" s="73"/>
      <c r="Q126"/>
    </row>
    <row r="127" spans="5:17" ht="12.75">
      <c r="E127" s="73"/>
      <c r="F127"/>
      <c r="P127" s="73"/>
      <c r="Q127"/>
    </row>
    <row r="128" spans="5:17" ht="12.75">
      <c r="E128" s="73"/>
      <c r="F128"/>
      <c r="P128" s="73"/>
      <c r="Q128"/>
    </row>
    <row r="129" spans="5:17" ht="12.75">
      <c r="E129" s="73"/>
      <c r="F129"/>
      <c r="P129" s="73"/>
      <c r="Q129"/>
    </row>
    <row r="130" spans="5:17" ht="12.75">
      <c r="E130" s="73"/>
      <c r="F130"/>
      <c r="P130" s="73"/>
      <c r="Q130"/>
    </row>
    <row r="131" spans="5:17" ht="12.75">
      <c r="E131" s="73"/>
      <c r="F131"/>
      <c r="P131" s="73"/>
      <c r="Q131"/>
    </row>
    <row r="132" spans="5:17" ht="12.75">
      <c r="E132" s="73"/>
      <c r="F132"/>
      <c r="P132" s="73"/>
      <c r="Q132"/>
    </row>
    <row r="133" spans="5:17" ht="12.75">
      <c r="E133" s="73"/>
      <c r="F133"/>
      <c r="P133" s="73"/>
      <c r="Q133"/>
    </row>
    <row r="134" spans="5:17" ht="12.75">
      <c r="E134" s="73"/>
      <c r="F134"/>
      <c r="P134" s="73"/>
      <c r="Q134"/>
    </row>
    <row r="135" spans="5:17" ht="12.75">
      <c r="E135" s="73"/>
      <c r="F135"/>
      <c r="P135" s="73"/>
      <c r="Q135"/>
    </row>
    <row r="136" spans="5:17" ht="12.75">
      <c r="E136" s="73"/>
      <c r="F136"/>
      <c r="P136" s="73"/>
      <c r="Q136"/>
    </row>
    <row r="137" spans="5:17" ht="12.75">
      <c r="E137" s="73"/>
      <c r="F137"/>
      <c r="P137" s="73"/>
      <c r="Q137"/>
    </row>
    <row r="138" spans="5:17" ht="12.75">
      <c r="E138" s="73"/>
      <c r="F138"/>
      <c r="P138" s="73"/>
      <c r="Q138"/>
    </row>
    <row r="139" spans="5:17" ht="12.75">
      <c r="E139" s="73"/>
      <c r="F139"/>
      <c r="P139" s="73"/>
      <c r="Q139"/>
    </row>
    <row r="140" spans="5:17" ht="12.75">
      <c r="E140" s="73"/>
      <c r="F140"/>
      <c r="P140" s="73"/>
      <c r="Q140"/>
    </row>
    <row r="141" spans="5:17" ht="12.75">
      <c r="E141" s="73"/>
      <c r="F141"/>
      <c r="P141" s="73"/>
      <c r="Q141"/>
    </row>
    <row r="142" spans="5:17" ht="12.75">
      <c r="E142" s="73"/>
      <c r="F142"/>
      <c r="P142" s="73"/>
      <c r="Q142"/>
    </row>
    <row r="143" spans="5:17" ht="12.75">
      <c r="E143" s="73"/>
      <c r="F143"/>
      <c r="P143" s="73"/>
      <c r="Q143"/>
    </row>
    <row r="144" spans="5:17" ht="12.75">
      <c r="E144" s="73"/>
      <c r="F144"/>
      <c r="P144" s="73"/>
      <c r="Q144"/>
    </row>
    <row r="145" spans="5:17" ht="12.75">
      <c r="E145" s="73"/>
      <c r="F145"/>
      <c r="P145" s="73"/>
      <c r="Q145"/>
    </row>
    <row r="146" spans="5:17" ht="12.75">
      <c r="E146" s="73"/>
      <c r="F146"/>
      <c r="P146" s="73"/>
      <c r="Q146"/>
    </row>
    <row r="147" spans="5:17" ht="12.75">
      <c r="E147" s="73"/>
      <c r="F147"/>
      <c r="P147" s="73"/>
      <c r="Q147"/>
    </row>
    <row r="148" spans="5:17" ht="12.75">
      <c r="E148" s="73"/>
      <c r="F148"/>
      <c r="P148" s="73"/>
      <c r="Q148"/>
    </row>
    <row r="149" spans="5:17" ht="12.75">
      <c r="E149" s="73"/>
      <c r="F149"/>
      <c r="P149" s="73"/>
      <c r="Q149"/>
    </row>
    <row r="150" spans="5:17" ht="12.75">
      <c r="E150" s="73"/>
      <c r="F150"/>
      <c r="P150" s="73"/>
      <c r="Q150"/>
    </row>
    <row r="151" spans="5:17" ht="12.75">
      <c r="E151" s="73"/>
      <c r="F151"/>
      <c r="P151" s="73"/>
      <c r="Q151"/>
    </row>
    <row r="152" spans="5:17" ht="12.75">
      <c r="E152" s="73"/>
      <c r="F152"/>
      <c r="P152" s="73"/>
      <c r="Q152"/>
    </row>
    <row r="153" spans="5:17" ht="12.75">
      <c r="E153" s="73"/>
      <c r="F153"/>
      <c r="P153" s="73"/>
      <c r="Q153"/>
    </row>
    <row r="154" spans="5:17" ht="12.75">
      <c r="E154" s="73"/>
      <c r="F154"/>
      <c r="P154" s="73"/>
      <c r="Q154"/>
    </row>
    <row r="155" spans="5:17" ht="12.75">
      <c r="E155" s="73"/>
      <c r="F155"/>
      <c r="P155" s="73"/>
      <c r="Q155"/>
    </row>
    <row r="156" spans="5:17" ht="12.75">
      <c r="E156" s="73"/>
      <c r="F156"/>
      <c r="P156" s="73"/>
      <c r="Q156"/>
    </row>
    <row r="157" spans="5:17" ht="12.75">
      <c r="E157" s="73"/>
      <c r="F157"/>
      <c r="P157" s="73"/>
      <c r="Q157"/>
    </row>
    <row r="158" spans="5:17" ht="12.75">
      <c r="E158" s="73"/>
      <c r="F158"/>
      <c r="P158" s="73"/>
      <c r="Q158"/>
    </row>
    <row r="159" spans="5:17" ht="12.75">
      <c r="E159" s="73"/>
      <c r="F159"/>
      <c r="P159" s="73"/>
      <c r="Q159"/>
    </row>
    <row r="160" spans="5:17" ht="12.75">
      <c r="E160" s="73"/>
      <c r="F160"/>
      <c r="P160" s="73"/>
      <c r="Q160"/>
    </row>
    <row r="161" spans="5:17" ht="12.75">
      <c r="E161" s="73"/>
      <c r="F161"/>
      <c r="P161" s="73"/>
      <c r="Q161"/>
    </row>
    <row r="162" spans="5:17" ht="12.75">
      <c r="E162" s="73"/>
      <c r="F162"/>
      <c r="P162" s="73"/>
      <c r="Q162"/>
    </row>
    <row r="163" spans="5:17" ht="12.75">
      <c r="E163" s="73"/>
      <c r="F163"/>
      <c r="P163" s="73"/>
      <c r="Q163"/>
    </row>
    <row r="164" spans="5:17" ht="12.75">
      <c r="E164" s="73"/>
      <c r="F164"/>
      <c r="P164" s="73"/>
      <c r="Q164"/>
    </row>
    <row r="165" spans="5:17" ht="12.75">
      <c r="E165" s="73"/>
      <c r="F165"/>
      <c r="P165" s="73"/>
      <c r="Q165"/>
    </row>
    <row r="166" spans="5:17" ht="12.75">
      <c r="E166" s="73"/>
      <c r="F166"/>
      <c r="P166" s="73"/>
      <c r="Q166"/>
    </row>
    <row r="167" spans="5:17" ht="12.75">
      <c r="E167" s="73"/>
      <c r="F167"/>
      <c r="P167" s="73"/>
      <c r="Q167"/>
    </row>
    <row r="168" spans="5:17" ht="12.75">
      <c r="E168" s="73"/>
      <c r="F168"/>
      <c r="P168" s="73"/>
      <c r="Q168"/>
    </row>
    <row r="169" spans="5:17" ht="12.75">
      <c r="E169" s="73"/>
      <c r="F169"/>
      <c r="P169" s="73"/>
      <c r="Q169"/>
    </row>
  </sheetData>
  <mergeCells count="7">
    <mergeCell ref="P1:Q1"/>
    <mergeCell ref="I21:K21"/>
    <mergeCell ref="L21:N21"/>
    <mergeCell ref="B21:D21"/>
    <mergeCell ref="F39:G52"/>
    <mergeCell ref="F1:I1"/>
    <mergeCell ref="K1:N1"/>
  </mergeCells>
  <printOptions/>
  <pageMargins left="0.75" right="0.75" top="1" bottom="1" header="0.5" footer="0.5"/>
  <pageSetup fitToHeight="2" fitToWidth="1" horizontalDpi="300" verticalDpi="300" orientation="landscape" scale="60" r:id="rId1"/>
  <headerFooter alignWithMargins="0">
    <oddHeader>&amp;C&amp;"Arial,Bold"&amp;22November 20, 2004 Los Altos Local Competition Teams and Scores</oddHeader>
    <oddFooter>&amp;L&amp;F&amp;C&amp;A&amp;R&amp;D</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2:Y109"/>
  <sheetViews>
    <sheetView zoomScale="70" zoomScaleNormal="70" workbookViewId="0" topLeftCell="A1">
      <pane ySplit="4" topLeftCell="BM84" activePane="bottomLeft" state="frozen"/>
      <selection pane="topLeft" activeCell="A1" sqref="A1"/>
      <selection pane="bottomLeft" activeCell="E4" sqref="E4"/>
    </sheetView>
  </sheetViews>
  <sheetFormatPr defaultColWidth="9.140625" defaultRowHeight="12.75"/>
  <cols>
    <col min="1" max="1" width="6.421875" style="0" customWidth="1"/>
    <col min="2" max="2" width="9.28125" style="0" customWidth="1"/>
    <col min="4" max="4" width="35.00390625" style="0" customWidth="1"/>
    <col min="5" max="5" width="12.421875" style="0" bestFit="1" customWidth="1"/>
    <col min="6" max="7" width="8.421875" style="0" customWidth="1"/>
    <col min="8" max="8" width="8.00390625" style="0" customWidth="1"/>
    <col min="9" max="20" width="8.421875" style="0" customWidth="1"/>
    <col min="22" max="22" width="9.8515625" style="0" customWidth="1"/>
  </cols>
  <sheetData>
    <row r="1" ht="13.5" thickBot="1"/>
    <row r="2" spans="1:20" ht="129.75" thickBot="1">
      <c r="A2" s="18"/>
      <c r="B2" s="143" t="s">
        <v>161</v>
      </c>
      <c r="C2" s="21"/>
      <c r="D2" s="21"/>
      <c r="E2" s="22"/>
      <c r="F2" s="23" t="s">
        <v>20</v>
      </c>
      <c r="G2" s="24" t="s">
        <v>21</v>
      </c>
      <c r="H2" s="24" t="s">
        <v>22</v>
      </c>
      <c r="I2" s="25" t="s">
        <v>23</v>
      </c>
      <c r="J2" s="25" t="s">
        <v>24</v>
      </c>
      <c r="K2" s="25" t="s">
        <v>25</v>
      </c>
      <c r="L2" s="26" t="s">
        <v>26</v>
      </c>
      <c r="M2" s="27" t="s">
        <v>27</v>
      </c>
      <c r="N2" s="25" t="s">
        <v>28</v>
      </c>
      <c r="O2" s="77" t="s">
        <v>29</v>
      </c>
      <c r="P2" s="77" t="s">
        <v>30</v>
      </c>
      <c r="Q2" s="78" t="s">
        <v>74</v>
      </c>
      <c r="R2" s="79" t="s">
        <v>31</v>
      </c>
      <c r="S2" s="79" t="s">
        <v>32</v>
      </c>
      <c r="T2" s="25" t="s">
        <v>33</v>
      </c>
    </row>
    <row r="3" spans="1:20" ht="21" thickBot="1">
      <c r="A3" s="18"/>
      <c r="B3" s="32" t="s">
        <v>163</v>
      </c>
      <c r="C3" s="17"/>
      <c r="D3" s="29"/>
      <c r="E3" s="30" t="s">
        <v>35</v>
      </c>
      <c r="F3" s="31" t="s">
        <v>36</v>
      </c>
      <c r="G3" s="310" t="s">
        <v>37</v>
      </c>
      <c r="H3" s="311"/>
      <c r="I3" s="312" t="s">
        <v>38</v>
      </c>
      <c r="J3" s="313"/>
      <c r="K3" s="314"/>
      <c r="L3" s="315" t="s">
        <v>39</v>
      </c>
      <c r="M3" s="316"/>
      <c r="N3" s="31" t="s">
        <v>40</v>
      </c>
      <c r="O3" s="317" t="s">
        <v>41</v>
      </c>
      <c r="P3" s="318"/>
      <c r="Q3" s="31" t="s">
        <v>73</v>
      </c>
      <c r="R3" s="308" t="s">
        <v>42</v>
      </c>
      <c r="S3" s="309"/>
      <c r="T3" s="31" t="s">
        <v>43</v>
      </c>
    </row>
    <row r="4" spans="1:25" ht="21" thickBot="1">
      <c r="A4" s="18"/>
      <c r="B4" s="32" t="s">
        <v>162</v>
      </c>
      <c r="C4" s="17"/>
      <c r="D4" s="33"/>
      <c r="E4" s="34">
        <v>400</v>
      </c>
      <c r="F4" s="35">
        <v>40</v>
      </c>
      <c r="G4" s="35">
        <v>40</v>
      </c>
      <c r="H4" s="35">
        <v>35</v>
      </c>
      <c r="I4" s="36">
        <v>50</v>
      </c>
      <c r="J4" s="36" t="s">
        <v>45</v>
      </c>
      <c r="K4" s="36" t="s">
        <v>46</v>
      </c>
      <c r="L4" s="36">
        <v>45</v>
      </c>
      <c r="M4" s="36">
        <v>40</v>
      </c>
      <c r="N4" s="36" t="s">
        <v>47</v>
      </c>
      <c r="O4" s="36">
        <v>35</v>
      </c>
      <c r="P4" s="36">
        <v>20</v>
      </c>
      <c r="Q4" s="36">
        <v>35</v>
      </c>
      <c r="R4" s="36">
        <v>45</v>
      </c>
      <c r="S4" s="36">
        <v>35</v>
      </c>
      <c r="T4" s="36" t="s">
        <v>75</v>
      </c>
      <c r="Y4" s="144"/>
    </row>
    <row r="5" spans="1:20" ht="23.25" customHeight="1" thickBot="1">
      <c r="A5" s="300" t="s">
        <v>160</v>
      </c>
      <c r="B5" s="140" t="s">
        <v>49</v>
      </c>
      <c r="C5" s="40" t="s">
        <v>50</v>
      </c>
      <c r="D5" s="40" t="s">
        <v>51</v>
      </c>
      <c r="E5" s="41"/>
      <c r="F5" s="42"/>
      <c r="G5" s="304">
        <f>IF(OR((AND(G6="y",H6="y")),(AND(G7="y",H7="y"))),"Too Many CDs","")</f>
      </c>
      <c r="H5" s="304"/>
      <c r="I5" s="304">
        <f>IF(AND(I6="Y",I7="Y"),"Too Many Balls In Center",IF((IF(I6="Y",1,IF(I7="Y",1,0))+J7+K7+J6+K6)&gt;16,"Too Many Balls",""))</f>
      </c>
      <c r="J5" s="305"/>
      <c r="K5" s="305"/>
      <c r="L5" s="304">
        <f>IF(OR((AND(L6="y",M6="y")),(AND(L7="y",M7="y"))),"Not Both Stairs","")</f>
      </c>
      <c r="M5" s="304"/>
      <c r="N5" s="43"/>
      <c r="O5" s="304">
        <f>IF(OR((AND(O6="y",P6="y")),(AND(O7="y",P7="y"))),"Not Both Positions","")</f>
      </c>
      <c r="P5" s="304"/>
      <c r="Q5" s="43"/>
      <c r="R5" s="304">
        <f>IF(OR((AND(R6="y",S6="y")),(AND(R7="y",S7="y"))),"Too Much Food","")</f>
      </c>
      <c r="S5" s="304"/>
      <c r="T5" s="44"/>
    </row>
    <row r="6" spans="1:20" ht="26.25" thickBot="1">
      <c r="A6" s="328"/>
      <c r="B6" s="142">
        <v>1</v>
      </c>
      <c r="C6" s="187">
        <v>0.06597222222222222</v>
      </c>
      <c r="D6" s="138" t="str">
        <f>Team1</f>
        <v>Mechanical Monkeys</v>
      </c>
      <c r="E6" s="133">
        <f>(IF(F6="y",$F$4,0))+(IF(G6="y",$G$4,0))+(IF(H6="y",$H$4,0))+(IF(I6="y",$I$4,0))+(IF((0&lt;J6)*(J6&lt;=16),J6*5,0))+(IF((0&lt;K6)*(K6&lt;=16),K6*2,0))+(IF(L6="y",$L$4,0))+(IF(M6="y",$M$4,0))+(IF((N6&gt;0)*(N6&lt;=3),N6*15,0))+(IF(O6="y",$O$4,0))+(IF(P6="y",$P$4,0))+(IF(Q6="y",$Q$4,0))+(IF(R6="y",$R$4,0))+(IF(S6="y",$S$4,0))+(IF((T6&gt;0)*(T6&lt;=3),T6*10,0))</f>
        <v>24</v>
      </c>
      <c r="F6" s="51"/>
      <c r="G6" s="51"/>
      <c r="H6" s="51"/>
      <c r="I6" s="51"/>
      <c r="J6" s="51"/>
      <c r="K6" s="51">
        <v>7</v>
      </c>
      <c r="L6" s="51"/>
      <c r="M6" s="51"/>
      <c r="N6" s="51"/>
      <c r="O6" s="51"/>
      <c r="P6" s="51"/>
      <c r="Q6" s="51"/>
      <c r="R6" s="51"/>
      <c r="S6" s="51"/>
      <c r="T6" s="51">
        <v>1</v>
      </c>
    </row>
    <row r="7" spans="1:20" ht="27" thickBot="1">
      <c r="A7" s="328"/>
      <c r="B7" s="141">
        <v>2</v>
      </c>
      <c r="C7" s="187"/>
      <c r="D7" s="138" t="str">
        <f>Team2</f>
        <v>Electric Pussycat</v>
      </c>
      <c r="E7" s="133">
        <f>(IF(F7="y",$F$4,0))+(IF(G7="y",$G$4,0))+(IF(H7="y",$H$4,0))+(IF(I7="y",$I$4,0))+(IF((0&lt;J7)*(J7&lt;=16),J7*5,0))+(IF((0&lt;K7)*(K7&lt;=16),K7*2,0))+(IF(L7="y",$L$4,0))+(IF(M7="y",$M$4,0))+(IF((N7&gt;0)*(N7&lt;=3),N7*15,0))+(IF(O7="y",$O$4,0))+(IF(P7="y",$P$4,0))+(IF(Q7="y",$Q$4,0))+(IF(R7="y",$R$4,0))+(IF(S7="y",$S$4,0))+(IF((T7&gt;0)*(T7&lt;=3),T7*10,0))</f>
        <v>157</v>
      </c>
      <c r="F7" s="51" t="s">
        <v>142</v>
      </c>
      <c r="G7" s="51" t="s">
        <v>142</v>
      </c>
      <c r="H7" s="51"/>
      <c r="I7" s="51" t="s">
        <v>142</v>
      </c>
      <c r="J7" s="51">
        <v>1</v>
      </c>
      <c r="K7" s="51">
        <v>1</v>
      </c>
      <c r="L7" s="51"/>
      <c r="M7" s="51"/>
      <c r="N7" s="51"/>
      <c r="O7" s="51"/>
      <c r="P7" s="51"/>
      <c r="Q7" s="51"/>
      <c r="R7" s="51"/>
      <c r="S7" s="51"/>
      <c r="T7" s="51">
        <v>2</v>
      </c>
    </row>
    <row r="8" spans="1:20" ht="23.25" thickBot="1">
      <c r="A8" s="328"/>
      <c r="B8" s="140" t="s">
        <v>49</v>
      </c>
      <c r="C8" s="40" t="s">
        <v>50</v>
      </c>
      <c r="D8" s="40" t="s">
        <v>51</v>
      </c>
      <c r="E8" s="134"/>
      <c r="F8" s="42"/>
      <c r="G8" s="304">
        <f>IF(OR((AND(G9="y",H9="y")),(AND(G10="y",H10="y"))),"Too Many CDs","")</f>
      </c>
      <c r="H8" s="304"/>
      <c r="I8" s="304">
        <f>IF(AND(I9="Y",I10="Y"),"Too Many Balls In Center",IF((IF(I9="Y",1,IF(I10="Y",1,0))+J10+K10+J9+K9)&gt;16,"Too Many Balls",""))</f>
      </c>
      <c r="J8" s="305"/>
      <c r="K8" s="305"/>
      <c r="L8" s="304">
        <f>IF(OR((AND(L9="y",M9="y")),(AND(L10="y",M10="y"))),"Not Both Stairs","")</f>
      </c>
      <c r="M8" s="304"/>
      <c r="N8" s="43"/>
      <c r="O8" s="304"/>
      <c r="P8" s="304"/>
      <c r="Q8" s="43"/>
      <c r="R8" s="304">
        <f>IF(OR((AND(R9="y",S9="y")),(AND(R10="y",S10="y"))),"Too Much Food","")</f>
      </c>
      <c r="S8" s="304"/>
      <c r="T8" s="44"/>
    </row>
    <row r="9" spans="1:20" ht="26.25" thickBot="1">
      <c r="A9" s="328"/>
      <c r="B9" s="142">
        <v>3</v>
      </c>
      <c r="C9" s="187">
        <v>0.06944444444444443</v>
      </c>
      <c r="D9" s="138" t="str">
        <f>Team3</f>
        <v>Team Taffy</v>
      </c>
      <c r="E9" s="133">
        <f>(IF(F9="y",$F$4,0))+(IF(G9="y",$G$4,0))+(IF(H9="y",$H$4,0))+(IF(I9="y",$I$4,0))+(IF((0&lt;J9)*(J9&lt;=16),J9*5,0))+(IF((0&lt;K9)*(K9&lt;=16),K9*2,0))+(IF(L9="y",$L$4,0))+(IF(M9="y",$M$4,0))+(IF((N9&gt;0)*(N9&lt;=3),N9*15,0))+(IF(O9="y",$O$4,0))+(IF(P9="y",$P$4,0))+(IF(Q9="y",$Q$4,0))+(IF(R9="y",$R$4,0))+(IF(S9="y",$S$4,0))+(IF((T9&gt;0)*(T9&lt;=3),T9*10,0))</f>
        <v>349</v>
      </c>
      <c r="F9" s="51" t="s">
        <v>142</v>
      </c>
      <c r="G9" s="51"/>
      <c r="H9" s="51"/>
      <c r="I9" s="51" t="s">
        <v>142</v>
      </c>
      <c r="J9" s="51">
        <v>2</v>
      </c>
      <c r="K9" s="51">
        <v>7</v>
      </c>
      <c r="L9" s="51" t="s">
        <v>142</v>
      </c>
      <c r="M9" s="51"/>
      <c r="N9" s="51">
        <v>3</v>
      </c>
      <c r="O9" s="51" t="s">
        <v>142</v>
      </c>
      <c r="P9" s="51"/>
      <c r="Q9" s="51" t="s">
        <v>142</v>
      </c>
      <c r="R9" s="51" t="s">
        <v>142</v>
      </c>
      <c r="S9" s="51"/>
      <c r="T9" s="51">
        <v>3</v>
      </c>
    </row>
    <row r="10" spans="1:20" ht="27" thickBot="1">
      <c r="A10" s="328"/>
      <c r="B10" s="141">
        <v>4</v>
      </c>
      <c r="C10" s="187"/>
      <c r="D10" s="138" t="str">
        <f>Team4</f>
        <v>Army of Six</v>
      </c>
      <c r="E10" s="133">
        <f>(IF(F10="y",$F$4,0))+(IF(G10="y",$G$4,0))+(IF(H10="y",$H$4,0))+(IF(I10="y",$I$4,0))+(IF((0&lt;J10)*(J10&lt;=16),J10*5,0))+(IF((0&lt;K10)*(K10&lt;=16),K10*2,0))+(IF(L10="y",$L$4,0))+(IF(M10="y",$M$4,0))+(IF((N10&gt;0)*(N10&lt;=3),N10*15,0))+(IF(O10="y",$O$4,0))+(IF(P10="y",$P$4,0))+(IF(Q10="y",$Q$4,0))+(IF(R10="y",$R$4,0))+(IF(S10="y",$S$4,0))+(IF((T10&gt;0)*(T10&lt;=3),T10*10,0))</f>
        <v>112</v>
      </c>
      <c r="F10" s="51" t="s">
        <v>142</v>
      </c>
      <c r="G10" s="51" t="s">
        <v>142</v>
      </c>
      <c r="H10" s="51"/>
      <c r="I10" s="51"/>
      <c r="J10" s="51">
        <v>4</v>
      </c>
      <c r="K10" s="51">
        <v>1</v>
      </c>
      <c r="L10" s="51"/>
      <c r="M10" s="51"/>
      <c r="N10" s="51"/>
      <c r="O10" s="51"/>
      <c r="P10" s="51"/>
      <c r="Q10" s="51"/>
      <c r="R10" s="51"/>
      <c r="S10" s="51"/>
      <c r="T10" s="51">
        <v>1</v>
      </c>
    </row>
    <row r="11" spans="1:20" ht="23.25" thickBot="1">
      <c r="A11" s="328"/>
      <c r="B11" s="140" t="s">
        <v>49</v>
      </c>
      <c r="C11" s="40" t="s">
        <v>50</v>
      </c>
      <c r="D11" s="40" t="s">
        <v>51</v>
      </c>
      <c r="E11" s="134"/>
      <c r="F11" s="42"/>
      <c r="G11" s="304">
        <f>IF(OR((AND(G12="y",H12="y")),(AND(G13="y",H13="y"))),"Too Many CDs","")</f>
      </c>
      <c r="H11" s="304"/>
      <c r="I11" s="304">
        <f>IF(AND(I12="Y",I13="Y"),"Too Many Balls In Center",IF((IF(I12="Y",1,IF(I13="Y",1,0))+J13+K13+J12+K12)&gt;16,"Too Many Balls",""))</f>
      </c>
      <c r="J11" s="305"/>
      <c r="K11" s="305"/>
      <c r="L11" s="304">
        <f>IF(OR((AND(L12="y",M12="y")),(AND(L13="y",M13="y"))),"Not Both Stairs","")</f>
      </c>
      <c r="M11" s="304"/>
      <c r="N11" s="43"/>
      <c r="O11" s="304">
        <f>IF(OR((AND(O12="y",P12="y")),(AND(O13="y",P13="y"))),"Not Both Positions","")</f>
      </c>
      <c r="P11" s="304"/>
      <c r="Q11" s="43"/>
      <c r="R11" s="304">
        <f>IF(OR((AND(R12="y",S12="y")),(AND(R13="y",S13="y"))),"Too Much Food","")</f>
      </c>
      <c r="S11" s="304"/>
      <c r="T11" s="44"/>
    </row>
    <row r="12" spans="1:20" ht="26.25" thickBot="1">
      <c r="A12" s="328"/>
      <c r="B12" s="142">
        <v>1</v>
      </c>
      <c r="C12" s="187">
        <v>0.07291666666666667</v>
      </c>
      <c r="D12" s="138" t="str">
        <f>Team5</f>
        <v>TheraBots</v>
      </c>
      <c r="E12" s="133">
        <f>(IF(F12="y",$F$4,0))+(IF(G12="y",$G$4,0))+(IF(H12="y",$H$4,0))+(IF(I12="y",$I$4,0))+(IF((0&lt;J12)*(J12&lt;=16),J12*5,0))+(IF((0&lt;K12)*(K12&lt;=16),K12*2,0))+(IF(L12="y",$L$4,0))+(IF(M12="y",$M$4,0))+(IF((N12&gt;0)*(N12&lt;=3),N12*15,0))+(IF(O12="y",$O$4,0))+(IF(P12="y",$P$4,0))+(IF(Q12="y",$Q$4,0))+(IF(R12="y",$R$4,0))+(IF(S12="y",$S$4,0))+(IF((T12&gt;0)*(T12&lt;=3),T12*10,0))</f>
        <v>114</v>
      </c>
      <c r="F12" s="51" t="s">
        <v>142</v>
      </c>
      <c r="G12" s="51" t="s">
        <v>142</v>
      </c>
      <c r="H12" s="51"/>
      <c r="I12" s="51"/>
      <c r="J12" s="51"/>
      <c r="K12" s="51">
        <v>7</v>
      </c>
      <c r="L12" s="51"/>
      <c r="M12" s="51"/>
      <c r="N12" s="51"/>
      <c r="O12" s="51"/>
      <c r="P12" s="51"/>
      <c r="Q12" s="51"/>
      <c r="R12" s="51"/>
      <c r="S12" s="51"/>
      <c r="T12" s="51">
        <v>2</v>
      </c>
    </row>
    <row r="13" spans="1:20" ht="27" thickBot="1">
      <c r="A13" s="328"/>
      <c r="B13" s="141">
        <v>2</v>
      </c>
      <c r="C13" s="187"/>
      <c r="D13" s="138" t="str">
        <f>Team6</f>
        <v>RoboFreaks</v>
      </c>
      <c r="E13" s="133">
        <f>(IF(F13="y",$F$4,0))+(IF(G13="y",$G$4,0))+(IF(H13="y",$H$4,0))+(IF(I13="y",$I$4,0))+(IF((0&lt;J13)*(J13&lt;=16),J13*5,0))+(IF((0&lt;K13)*(K13&lt;=16),K13*2,0))+(IF(L13="y",$L$4,0))+(IF(M13="y",$M$4,0))+(IF((N13&gt;0)*(N13&lt;=3),N13*15,0))+(IF(O13="y",$O$4,0))+(IF(P13="y",$P$4,0))+(IF(Q13="y",$Q$4,0))+(IF(R13="y",$R$4,0))+(IF(S13="y",$S$4,0))+(IF((T13&gt;0)*(T13&lt;=3),T13*10,0))</f>
        <v>108</v>
      </c>
      <c r="F13" s="51"/>
      <c r="G13" s="51" t="s">
        <v>142</v>
      </c>
      <c r="H13" s="51"/>
      <c r="I13" s="51" t="s">
        <v>142</v>
      </c>
      <c r="J13" s="51"/>
      <c r="K13" s="51">
        <v>4</v>
      </c>
      <c r="L13" s="51"/>
      <c r="M13" s="51"/>
      <c r="N13" s="51"/>
      <c r="O13" s="51"/>
      <c r="P13" s="51"/>
      <c r="Q13" s="51"/>
      <c r="R13" s="51"/>
      <c r="S13" s="51"/>
      <c r="T13" s="51">
        <v>1</v>
      </c>
    </row>
    <row r="14" spans="1:20" ht="23.25" thickBot="1">
      <c r="A14" s="328"/>
      <c r="B14" s="140" t="s">
        <v>49</v>
      </c>
      <c r="C14" s="40" t="s">
        <v>50</v>
      </c>
      <c r="D14" s="40" t="s">
        <v>51</v>
      </c>
      <c r="E14" s="134"/>
      <c r="F14" s="42"/>
      <c r="G14" s="304">
        <f>IF(OR((AND(G15="y",H15="y")),(AND(G16="y",H16="y"))),"Too Many CDs","")</f>
      </c>
      <c r="H14" s="304"/>
      <c r="I14" s="304">
        <f>IF(AND(I15="Y",I16="Y"),"Too Many Balls In Center",IF((IF(I15="Y",1,IF(I16="Y",1,0))+J16+K16+J15+K15)&gt;16,"Too Many Balls",""))</f>
      </c>
      <c r="J14" s="305"/>
      <c r="K14" s="305"/>
      <c r="L14" s="304">
        <f>IF(OR((AND(L15="y",M15="y")),(AND(L16="y",M16="y"))),"Not Both Stairs","")</f>
      </c>
      <c r="M14" s="304"/>
      <c r="N14" s="43"/>
      <c r="O14" s="304">
        <f>IF(OR((AND(O15="y",P15="y")),(AND(O16="y",P16="y"))),"Not Both Positions","")</f>
      </c>
      <c r="P14" s="304"/>
      <c r="Q14" s="43"/>
      <c r="R14" s="304">
        <f>IF(OR((AND(R15="y",S15="y")),(AND(R16="y",S16="y"))),"Too Much Food","")</f>
      </c>
      <c r="S14" s="304"/>
      <c r="T14" s="44"/>
    </row>
    <row r="15" spans="1:20" ht="26.25" thickBot="1">
      <c r="A15" s="328"/>
      <c r="B15" s="142">
        <v>3</v>
      </c>
      <c r="C15" s="187">
        <v>0.0763888888888889</v>
      </c>
      <c r="D15" s="138" t="str">
        <f>Team7</f>
        <v>CyberBots</v>
      </c>
      <c r="E15" s="133">
        <f>(IF(F15="y",$F$4,0))+(IF(G15="y",$G$4,0))+(IF(H15="y",$H$4,0))+(IF(I15="y",$I$4,0))+(IF((0&lt;J15)*(J15&lt;=16),J15*5,0))+(IF((0&lt;K15)*(K15&lt;=16),K15*2,0))+(IF(L15="y",$L$4,0))+(IF(M15="y",$M$4,0))+(IF((N15&gt;0)*(N15&lt;=3),N15*15,0))+(IF(O15="y",$O$4,0))+(IF(P15="y",$P$4,0))+(IF(Q15="y",$Q$4,0))+(IF(R15="y",$R$4,0))+(IF(S15="y",$S$4,0))+(IF((T15&gt;0)*(T15&lt;=3),T15*10,0))</f>
        <v>74</v>
      </c>
      <c r="F15" s="51"/>
      <c r="G15" s="51"/>
      <c r="H15" s="51"/>
      <c r="I15" s="51" t="s">
        <v>142</v>
      </c>
      <c r="J15" s="51">
        <v>4</v>
      </c>
      <c r="K15" s="51">
        <v>2</v>
      </c>
      <c r="L15" s="51"/>
      <c r="M15" s="51"/>
      <c r="N15" s="51"/>
      <c r="O15" s="51"/>
      <c r="P15" s="51"/>
      <c r="Q15" s="51"/>
      <c r="R15" s="51"/>
      <c r="S15" s="51"/>
      <c r="T15" s="51"/>
    </row>
    <row r="16" spans="1:20" ht="27" thickBot="1">
      <c r="A16" s="328"/>
      <c r="B16" s="141">
        <v>4</v>
      </c>
      <c r="C16" s="187"/>
      <c r="D16" s="138" t="str">
        <f>Team8</f>
        <v>Roboraiders</v>
      </c>
      <c r="E16" s="133">
        <f>(IF(F16="y",$F$4,0))+(IF(G16="y",$G$4,0))+(IF(H16="y",$H$4,0))+(IF(I16="y",$I$4,0))+(IF((0&lt;J16)*(J16&lt;=16),J16*5,0))+(IF((0&lt;K16)*(K16&lt;=16),K16*2,0))+(IF(L16="y",$L$4,0))+(IF(M16="y",$M$4,0))+(IF((N16&gt;0)*(N16&lt;=3),N16*15,0))+(IF(O16="y",$O$4,0))+(IF(P16="y",$P$4,0))+(IF(Q16="y",$Q$4,0))+(IF(R16="y",$R$4,0))+(IF(S16="y",$S$4,0))+(IF((T16&gt;0)*(T16&lt;=3),T16*10,0))</f>
        <v>119</v>
      </c>
      <c r="F16" s="51"/>
      <c r="G16" s="51" t="s">
        <v>142</v>
      </c>
      <c r="H16" s="51"/>
      <c r="I16" s="51"/>
      <c r="J16" s="51"/>
      <c r="K16" s="51">
        <v>7</v>
      </c>
      <c r="L16" s="51"/>
      <c r="M16" s="51"/>
      <c r="N16" s="51"/>
      <c r="O16" s="51"/>
      <c r="P16" s="51"/>
      <c r="Q16" s="51"/>
      <c r="R16" s="51" t="s">
        <v>142</v>
      </c>
      <c r="S16" s="51"/>
      <c r="T16" s="51">
        <v>2</v>
      </c>
    </row>
    <row r="17" spans="1:20" ht="23.25" thickBot="1">
      <c r="A17" s="328"/>
      <c r="B17" s="140" t="s">
        <v>49</v>
      </c>
      <c r="C17" s="40" t="s">
        <v>50</v>
      </c>
      <c r="D17" s="40" t="s">
        <v>51</v>
      </c>
      <c r="E17" s="134"/>
      <c r="F17" s="42"/>
      <c r="G17" s="304">
        <f>IF(OR((AND(G18="y",H18="y")),(AND(G19="y",H19="y"))),"Too Many CDs","")</f>
      </c>
      <c r="H17" s="304"/>
      <c r="I17" s="304">
        <f>IF(AND(I18="Y",I19="Y"),"Too Many Balls In Center",IF((IF(I18="Y",1,IF(I19="Y",1,0))+J19+K19+J18+K18)&gt;16,"Too Many Balls",""))</f>
      </c>
      <c r="J17" s="305"/>
      <c r="K17" s="305"/>
      <c r="L17" s="304">
        <f>IF(OR((AND(L18="y",M18="y")),(AND(L19="y",M19="y"))),"Not Both Stairs","")</f>
      </c>
      <c r="M17" s="304"/>
      <c r="N17" s="43"/>
      <c r="O17" s="304">
        <f>IF(OR((AND(O18="y",P18="y")),(AND(O19="y",P19="y"))),"Not Both Positions","")</f>
      </c>
      <c r="P17" s="304"/>
      <c r="Q17" s="43"/>
      <c r="R17" s="304">
        <f>IF(OR((AND(R18="y",S18="y")),(AND(R19="y",S19="y"))),"Too Much Food","")</f>
      </c>
      <c r="S17" s="304"/>
      <c r="T17" s="44"/>
    </row>
    <row r="18" spans="1:20" ht="26.25" thickBot="1">
      <c r="A18" s="328"/>
      <c r="B18" s="142">
        <v>1</v>
      </c>
      <c r="C18" s="187">
        <v>0.0798611111111111</v>
      </c>
      <c r="D18" s="138" t="str">
        <f>Team9</f>
        <v>RoboPups</v>
      </c>
      <c r="E18" s="133">
        <f>(IF(F18="y",$F$4,0))+(IF(G18="y",$G$4,0))+(IF(H18="y",$H$4,0))+(IF(I18="y",$I$4,0))+(IF((0&lt;J18)*(J18&lt;=16),J18*5,0))+(IF((0&lt;K18)*(K18&lt;=16),K18*2,0))+(IF(L18="y",$L$4,0))+(IF(M18="y",$M$4,0))+(IF((N18&gt;0)*(N18&lt;=3),N18*15,0))+(IF(O18="y",$O$4,0))+(IF(P18="y",$P$4,0))+(IF(Q18="y",$Q$4,0))+(IF(R18="y",$R$4,0))+(IF(S18="y",$S$4,0))+(IF((T18&gt;0)*(T18&lt;=3),T18*10,0))</f>
        <v>0</v>
      </c>
      <c r="F18" s="51"/>
      <c r="G18" s="51"/>
      <c r="H18" s="51"/>
      <c r="I18" s="51"/>
      <c r="J18" s="51"/>
      <c r="K18" s="51"/>
      <c r="L18" s="51"/>
      <c r="M18" s="51"/>
      <c r="N18" s="51"/>
      <c r="O18" s="51"/>
      <c r="P18" s="51"/>
      <c r="Q18" s="51"/>
      <c r="R18" s="51"/>
      <c r="S18" s="51"/>
      <c r="T18" s="51"/>
    </row>
    <row r="19" spans="1:20" ht="27" thickBot="1">
      <c r="A19" s="328"/>
      <c r="B19" s="141">
        <v>2</v>
      </c>
      <c r="C19" s="187"/>
      <c r="D19" s="138" t="str">
        <f>Team10</f>
        <v>Battery-powered Legomen</v>
      </c>
      <c r="E19" s="133">
        <f>(IF(F19="y",$F$4,0))+(IF(G19="y",$G$4,0))+(IF(H19="y",$H$4,0))+(IF(I19="y",$I$4,0))+(IF((0&lt;J19)*(J19&lt;=16),J19*5,0))+(IF((0&lt;K19)*(K19&lt;=16),K19*2,0))+(IF(L19="y",$L$4,0))+(IF(M19="y",$M$4,0))+(IF((N19&gt;0)*(N19&lt;=3),N19*15,0))+(IF(O19="y",$O$4,0))+(IF(P19="y",$P$4,0))+(IF(Q19="y",$Q$4,0))+(IF(R19="y",$R$4,0))+(IF(S19="y",$S$4,0))+(IF((T19&gt;0)*(T19&lt;=3),T19*10,0))</f>
        <v>71</v>
      </c>
      <c r="F19" s="51"/>
      <c r="G19" s="51"/>
      <c r="H19" s="51"/>
      <c r="I19" s="51" t="s">
        <v>142</v>
      </c>
      <c r="J19" s="51">
        <v>1</v>
      </c>
      <c r="K19" s="51">
        <v>3</v>
      </c>
      <c r="L19" s="51"/>
      <c r="M19" s="51"/>
      <c r="N19" s="51"/>
      <c r="O19" s="51"/>
      <c r="P19" s="51"/>
      <c r="Q19" s="51"/>
      <c r="R19" s="51"/>
      <c r="S19" s="51"/>
      <c r="T19" s="51">
        <v>1</v>
      </c>
    </row>
    <row r="20" spans="1:20" ht="23.25" thickBot="1">
      <c r="A20" s="328"/>
      <c r="B20" s="140" t="s">
        <v>49</v>
      </c>
      <c r="C20" s="40" t="s">
        <v>50</v>
      </c>
      <c r="D20" s="40" t="s">
        <v>51</v>
      </c>
      <c r="E20" s="134"/>
      <c r="F20" s="42"/>
      <c r="G20" s="304">
        <f>IF(OR((AND(G21="y",H21="y")),(AND(G22="y",H22="y"))),"Too Many CDs","")</f>
      </c>
      <c r="H20" s="304"/>
      <c r="I20" s="304">
        <f>IF(AND(I21="Y",I22="Y"),"Too Many Balls In Center",IF((IF(I21="Y",1,IF(I22="Y",1,0))+J22+K22+J21+K21)&gt;16,"Too Many Balls",""))</f>
      </c>
      <c r="J20" s="305"/>
      <c r="K20" s="305"/>
      <c r="L20" s="304">
        <f>IF(OR((AND(L21="y",M21="y")),(AND(L22="y",M22="y"))),"Not Both Stairs","")</f>
      </c>
      <c r="M20" s="304"/>
      <c r="N20" s="43"/>
      <c r="O20" s="304">
        <f>IF(OR((AND(O21="y",P21="y")),(AND(O22="y",P22="y"))),"Not Both Positions","")</f>
      </c>
      <c r="P20" s="304"/>
      <c r="Q20" s="43"/>
      <c r="R20" s="304">
        <f>IF(OR((AND(R21="y",S21="y")),(AND(R22="y",S22="y"))),"Too Much Food","")</f>
      </c>
      <c r="S20" s="304"/>
      <c r="T20" s="44"/>
    </row>
    <row r="21" spans="1:20" ht="26.25" thickBot="1">
      <c r="A21" s="328"/>
      <c r="B21" s="142">
        <v>3</v>
      </c>
      <c r="C21" s="187">
        <v>0.08333333333333333</v>
      </c>
      <c r="D21" s="138" t="str">
        <f>Team11</f>
        <v>CyberDisks</v>
      </c>
      <c r="E21" s="133">
        <f>(IF(F21="y",$F$4,0))+(IF(G21="y",$G$4,0))+(IF(H21="y",$H$4,0))+(IF(I21="y",$I$4,0))+(IF((0&lt;J21)*(J21&lt;=16),J21*5,0))+(IF((0&lt;K21)*(K21&lt;=16),K21*2,0))+(IF(L21="y",$L$4,0))+(IF(M21="y",$M$4,0))+(IF((N21&gt;0)*(N21&lt;=3),N21*15,0))+(IF(O21="y",$O$4,0))+(IF(P21="y",$P$4,0))+(IF(Q21="y",$Q$4,0))+(IF(R21="y",$R$4,0))+(IF(S21="y",$S$4,0))+(IF((T21&gt;0)*(T21&lt;=3),T21*10,0))</f>
        <v>72</v>
      </c>
      <c r="F21" s="51"/>
      <c r="G21" s="51" t="s">
        <v>142</v>
      </c>
      <c r="H21" s="51"/>
      <c r="I21" s="51"/>
      <c r="J21" s="51"/>
      <c r="K21" s="51">
        <v>6</v>
      </c>
      <c r="L21" s="51"/>
      <c r="M21" s="51"/>
      <c r="N21" s="51"/>
      <c r="O21" s="51"/>
      <c r="P21" s="51"/>
      <c r="Q21" s="51"/>
      <c r="R21" s="51"/>
      <c r="S21" s="51"/>
      <c r="T21" s="51">
        <v>2</v>
      </c>
    </row>
    <row r="22" spans="1:20" ht="27" thickBot="1">
      <c r="A22" s="328"/>
      <c r="B22" s="141">
        <v>4</v>
      </c>
      <c r="C22" s="187"/>
      <c r="D22" s="138" t="str">
        <f>Team12</f>
        <v>Lego Legends</v>
      </c>
      <c r="E22" s="133">
        <f>(IF(F22="y",$F$4,0))+(IF(G22="y",$G$4,0))+(IF(H22="y",$H$4,0))+(IF(I22="y",$I$4,0))+(IF((0&lt;J22)*(J22&lt;=16),J22*5,0))+(IF((0&lt;K22)*(K22&lt;=16),K22*2,0))+(IF(L22="y",$L$4,0))+(IF(M22="y",$M$4,0))+(IF((N22&gt;0)*(N22&lt;=3),N22*15,0))+(IF(O22="y",$O$4,0))+(IF(P22="y",$P$4,0))+(IF(Q22="y",$Q$4,0))+(IF(R22="y",$R$4,0))+(IF(S22="y",$S$4,0))+(IF((T22&gt;0)*(T22&lt;=3),T22*10,0))</f>
        <v>137</v>
      </c>
      <c r="F22" s="51" t="s">
        <v>142</v>
      </c>
      <c r="G22" s="51" t="s">
        <v>142</v>
      </c>
      <c r="H22" s="51"/>
      <c r="I22" s="51"/>
      <c r="J22" s="51"/>
      <c r="K22" s="51">
        <v>6</v>
      </c>
      <c r="L22" s="51"/>
      <c r="M22" s="51"/>
      <c r="N22" s="51"/>
      <c r="O22" s="51"/>
      <c r="P22" s="51"/>
      <c r="Q22" s="51" t="s">
        <v>142</v>
      </c>
      <c r="R22" s="51"/>
      <c r="S22" s="51"/>
      <c r="T22" s="51">
        <v>1</v>
      </c>
    </row>
    <row r="23" spans="1:20" ht="23.25" thickBot="1">
      <c r="A23" s="328"/>
      <c r="B23" s="140" t="s">
        <v>49</v>
      </c>
      <c r="C23" s="40" t="s">
        <v>50</v>
      </c>
      <c r="D23" s="40" t="s">
        <v>51</v>
      </c>
      <c r="E23" s="134"/>
      <c r="F23" s="42"/>
      <c r="G23" s="304">
        <f>IF(OR((AND(G24="y",H24="y")),(AND(G25="y",H25="y"))),"Too Many CDs","")</f>
      </c>
      <c r="H23" s="304"/>
      <c r="I23" s="304">
        <f>IF(AND(I24="Y",I25="Y"),"Too Many Balls In Center",IF((IF(I24="Y",1,IF(I25="Y",1,0))+J25+K25+J24+K24)&gt;16,"Too Many Balls",""))</f>
      </c>
      <c r="J23" s="305"/>
      <c r="K23" s="305"/>
      <c r="L23" s="304">
        <f>IF(OR((AND(L24="y",M24="y")),(AND(L25="y",M25="y"))),"Not Both Stairs","")</f>
      </c>
      <c r="M23" s="304"/>
      <c r="N23" s="43"/>
      <c r="O23" s="304">
        <f>IF(OR((AND(O24="y",P24="y")),(AND(O25="y",P25="y"))),"Not Both Positions","")</f>
      </c>
      <c r="P23" s="304"/>
      <c r="Q23" s="43"/>
      <c r="R23" s="304">
        <f>IF(OR((AND(R24="y",S24="y")),(AND(R25="y",S25="y"))),"Too Much Food","")</f>
      </c>
      <c r="S23" s="304"/>
      <c r="T23" s="44"/>
    </row>
    <row r="24" spans="1:20" ht="26.25" thickBot="1">
      <c r="A24" s="328"/>
      <c r="B24" s="142">
        <v>1</v>
      </c>
      <c r="C24" s="187">
        <v>0.08680555555555557</v>
      </c>
      <c r="D24" s="138" t="str">
        <f>Team13</f>
        <v>Rocking Robotics</v>
      </c>
      <c r="E24" s="133">
        <f>(IF(F24="y",$F$4,0))+(IF(G24="y",$G$4,0))+(IF(H24="y",$H$4,0))+(IF(I24="y",$I$4,0))+(IF((0&lt;J24)*(J24&lt;=16),J24*5,0))+(IF((0&lt;K24)*(K24&lt;=16),K24*2,0))+(IF(L24="y",$L$4,0))+(IF(M24="y",$M$4,0))+(IF((N24&gt;0)*(N24&lt;=3),N24*15,0))+(IF(O24="y",$O$4,0))+(IF(P24="y",$P$4,0))+(IF(Q24="y",$Q$4,0))+(IF(R24="y",$R$4,0))+(IF(S24="y",$S$4,0))+(IF((T24&gt;0)*(T24&lt;=3),T24*10,0))</f>
        <v>62</v>
      </c>
      <c r="F24" s="51" t="s">
        <v>142</v>
      </c>
      <c r="G24" s="51"/>
      <c r="H24" s="51"/>
      <c r="I24" s="51"/>
      <c r="J24" s="51"/>
      <c r="K24" s="51">
        <v>6</v>
      </c>
      <c r="L24" s="51"/>
      <c r="M24" s="51"/>
      <c r="N24" s="51"/>
      <c r="O24" s="51"/>
      <c r="P24" s="51"/>
      <c r="Q24" s="51"/>
      <c r="R24" s="51"/>
      <c r="S24" s="51"/>
      <c r="T24" s="51">
        <v>1</v>
      </c>
    </row>
    <row r="25" spans="1:20" ht="27" thickBot="1">
      <c r="A25" s="328"/>
      <c r="B25" s="141">
        <v>2</v>
      </c>
      <c r="C25" s="187"/>
      <c r="D25" s="138" t="str">
        <f>Team14</f>
        <v>Happy Hippos</v>
      </c>
      <c r="E25" s="133">
        <f>(IF(F25="y",$F$4,0))+(IF(G25="y",$G$4,0))+(IF(H25="y",$H$4,0))+(IF(I25="y",$I$4,0))+(IF((0&lt;J25)*(J25&lt;=16),J25*5,0))+(IF((0&lt;K25)*(K25&lt;=16),K25*2,0))+(IF(L25="y",$L$4,0))+(IF(M25="y",$M$4,0))+(IF((N25&gt;0)*(N25&lt;=3),N25*15,0))+(IF(O25="y",$O$4,0))+(IF(P25="y",$P$4,0))+(IF(Q25="y",$Q$4,0))+(IF(R25="y",$R$4,0))+(IF(S25="y",$S$4,0))+(IF((T25&gt;0)*(T25&lt;=3),T25*10,0))</f>
        <v>58</v>
      </c>
      <c r="F25" s="51"/>
      <c r="G25" s="51"/>
      <c r="H25" s="51"/>
      <c r="I25" s="51"/>
      <c r="J25" s="51">
        <v>1</v>
      </c>
      <c r="K25" s="51">
        <v>4</v>
      </c>
      <c r="L25" s="51"/>
      <c r="M25" s="51"/>
      <c r="N25" s="51"/>
      <c r="O25" s="51" t="s">
        <v>142</v>
      </c>
      <c r="P25" s="51"/>
      <c r="Q25" s="51"/>
      <c r="R25" s="51"/>
      <c r="S25" s="51"/>
      <c r="T25" s="51">
        <v>1</v>
      </c>
    </row>
    <row r="26" spans="1:20" ht="23.25" thickBot="1">
      <c r="A26" s="328"/>
      <c r="B26" s="140" t="s">
        <v>49</v>
      </c>
      <c r="C26" s="40" t="s">
        <v>50</v>
      </c>
      <c r="D26" s="40" t="s">
        <v>51</v>
      </c>
      <c r="E26" s="134"/>
      <c r="F26" s="42"/>
      <c r="G26" s="304">
        <f>IF(OR((AND(G27="y",H27="y")),(AND(G28="y",H28="y"))),"Too Many CDs","")</f>
      </c>
      <c r="H26" s="304"/>
      <c r="I26" s="304">
        <f>IF(AND(I27="Y",I28="Y"),"Too Many Balls In Center",IF((IF(I27="Y",1,IF(I28="Y",1,0))+J28+K28+J27+K27)&gt;16,"Too Many Balls",""))</f>
      </c>
      <c r="J26" s="305"/>
      <c r="K26" s="305"/>
      <c r="L26" s="304">
        <f>IF(OR((AND(L27="y",M27="y")),(AND(L28="y",M28="y"))),"Not Both Stairs","")</f>
      </c>
      <c r="M26" s="304"/>
      <c r="N26" s="43"/>
      <c r="O26" s="304">
        <f>IF(OR((AND(O27="y",P27="y")),(AND(O28="y",P28="y"))),"Not Both Positions","")</f>
      </c>
      <c r="P26" s="304"/>
      <c r="Q26" s="43"/>
      <c r="R26" s="304">
        <f>IF(OR((AND(R27="y",S27="y")),(AND(R28="y",S28="y"))),"Too Much Food","")</f>
      </c>
      <c r="S26" s="304"/>
      <c r="T26" s="44"/>
    </row>
    <row r="27" spans="1:20" ht="26.25" thickBot="1">
      <c r="A27" s="328"/>
      <c r="B27" s="142">
        <v>3</v>
      </c>
      <c r="C27" s="187">
        <v>0.09027777777777778</v>
      </c>
      <c r="D27" s="138" t="str">
        <f>Team15</f>
        <v>DogBots</v>
      </c>
      <c r="E27" s="133">
        <f>(IF(F27="y",$F$4,0))+(IF(G27="y",$G$4,0))+(IF(H27="y",$H$4,0))+(IF(I27="y",$I$4,0))+(IF((0&lt;J27)*(J27&lt;=16),J27*5,0))+(IF((0&lt;K27)*(K27&lt;=16),K27*2,0))+(IF(L27="y",$L$4,0))+(IF(M27="y",$M$4,0))+(IF((N27&gt;0)*(N27&lt;=3),N27*15,0))+(IF(O27="y",$O$4,0))+(IF(P27="y",$P$4,0))+(IF(Q27="y",$Q$4,0))+(IF(R27="y",$R$4,0))+(IF(S27="y",$S$4,0))+(IF((T27&gt;0)*(T27&lt;=3),T27*10,0))</f>
        <v>72</v>
      </c>
      <c r="F27" s="51"/>
      <c r="G27" s="51" t="s">
        <v>142</v>
      </c>
      <c r="H27" s="51"/>
      <c r="I27" s="51"/>
      <c r="J27" s="51"/>
      <c r="K27" s="51">
        <v>6</v>
      </c>
      <c r="L27" s="51"/>
      <c r="M27" s="51"/>
      <c r="N27" s="51"/>
      <c r="O27" s="51"/>
      <c r="P27" s="51"/>
      <c r="Q27" s="51"/>
      <c r="R27" s="51"/>
      <c r="S27" s="51"/>
      <c r="T27" s="51">
        <v>2</v>
      </c>
    </row>
    <row r="28" spans="1:20" ht="27" thickBot="1">
      <c r="A28" s="328"/>
      <c r="B28" s="141">
        <v>4</v>
      </c>
      <c r="C28" s="187"/>
      <c r="D28" s="138" t="str">
        <f>Team16</f>
        <v>Catbot 2000</v>
      </c>
      <c r="E28" s="133">
        <f>(IF(F28="y",$F$4,0))+(IF(G28="y",$G$4,0))+(IF(H28="y",$H$4,0))+(IF(I28="y",$I$4,0))+(IF((0&lt;J28)*(J28&lt;=16),J28*5,0))+(IF((0&lt;K28)*(K28&lt;=16),K28*2,0))+(IF(L28="y",$L$4,0))+(IF(M28="y",$M$4,0))+(IF((N28&gt;0)*(N28&lt;=3),N28*15,0))+(IF(O28="y",$O$4,0))+(IF(P28="y",$P$4,0))+(IF(Q28="y",$Q$4,0))+(IF(R28="y",$R$4,0))+(IF(S28="y",$S$4,0))+(IF((T28&gt;0)*(T28&lt;=3),T28*10,0))</f>
        <v>16</v>
      </c>
      <c r="F28" s="51"/>
      <c r="G28" s="51"/>
      <c r="H28" s="51"/>
      <c r="I28" s="51"/>
      <c r="J28" s="51"/>
      <c r="K28" s="51">
        <v>3</v>
      </c>
      <c r="L28" s="51"/>
      <c r="M28" s="51"/>
      <c r="N28" s="51"/>
      <c r="O28" s="51"/>
      <c r="P28" s="51"/>
      <c r="Q28" s="51"/>
      <c r="R28" s="51"/>
      <c r="S28" s="51"/>
      <c r="T28" s="51">
        <v>1</v>
      </c>
    </row>
    <row r="29" spans="1:20" ht="23.25" thickBot="1">
      <c r="A29" s="328"/>
      <c r="B29" s="140" t="s">
        <v>49</v>
      </c>
      <c r="C29" s="40" t="s">
        <v>50</v>
      </c>
      <c r="D29" s="40" t="s">
        <v>51</v>
      </c>
      <c r="E29" s="134"/>
      <c r="F29" s="42"/>
      <c r="G29" s="304">
        <f>IF(OR((AND(G30="y",H30="y")),(AND(G31="y",H31="y"))),"Too Many CDs","")</f>
      </c>
      <c r="H29" s="304"/>
      <c r="I29" s="304">
        <f>IF(AND(I30="Y",I31="Y"),"Too Many Balls In Center",IF((IF(I30="Y",1,IF(I31="Y",1,0))+J31+K31+J30+K30)&gt;16,"Too Many Balls",""))</f>
      </c>
      <c r="J29" s="305"/>
      <c r="K29" s="305"/>
      <c r="L29" s="304">
        <f>IF(OR((AND(L30="y",M30="y")),(AND(L31="y",M31="y"))),"Not Both Stairs","")</f>
      </c>
      <c r="M29" s="304"/>
      <c r="N29" s="43"/>
      <c r="O29" s="304">
        <f>IF(OR((AND(O30="y",P30="y")),(AND(O31="y",P31="y"))),"Not Both Positions","")</f>
      </c>
      <c r="P29" s="304"/>
      <c r="Q29" s="43"/>
      <c r="R29" s="304">
        <f>IF(OR((AND(R30="y",S30="y")),(AND(R31="y",S31="y"))),"Too Much Food","")</f>
      </c>
      <c r="S29" s="304"/>
      <c r="T29" s="44"/>
    </row>
    <row r="30" spans="1:20" ht="26.25" thickBot="1">
      <c r="A30" s="328"/>
      <c r="B30" s="142">
        <v>1</v>
      </c>
      <c r="C30" s="187">
        <v>0.09375</v>
      </c>
      <c r="D30" s="138" t="str">
        <f>Team17</f>
        <v>TigerBots</v>
      </c>
      <c r="E30" s="133">
        <f>(IF(F30="y",$F$4,0))+(IF(G30="y",$G$4,0))+(IF(H30="y",$H$4,0))+(IF(I30="y",$I$4,0))+(IF((0&lt;J30)*(J30&lt;=16),J30*5,0))+(IF((0&lt;K30)*(K30&lt;=16),K30*2,0))+(IF(L30="y",$L$4,0))+(IF(M30="y",$M$4,0))+(IF((N30&gt;0)*(N30&lt;=3),N30*15,0))+(IF(O30="y",$O$4,0))+(IF(P30="y",$P$4,0))+(IF(Q30="y",$Q$4,0))+(IF(R30="y",$R$4,0))+(IF(S30="y",$S$4,0))+(IF((T30&gt;0)*(T30&lt;=3),T30*10,0))</f>
        <v>274</v>
      </c>
      <c r="F30" s="51" t="s">
        <v>142</v>
      </c>
      <c r="G30" s="51" t="s">
        <v>142</v>
      </c>
      <c r="H30" s="51"/>
      <c r="I30" s="51"/>
      <c r="J30" s="51"/>
      <c r="K30" s="51">
        <v>7</v>
      </c>
      <c r="L30" s="51"/>
      <c r="M30" s="51"/>
      <c r="N30" s="51">
        <v>3</v>
      </c>
      <c r="O30" s="51" t="s">
        <v>142</v>
      </c>
      <c r="P30" s="51"/>
      <c r="Q30" s="51" t="s">
        <v>142</v>
      </c>
      <c r="R30" s="51" t="s">
        <v>142</v>
      </c>
      <c r="S30" s="51"/>
      <c r="T30" s="51">
        <v>2</v>
      </c>
    </row>
    <row r="31" spans="1:20" ht="27" thickBot="1">
      <c r="A31" s="329"/>
      <c r="B31" s="141">
        <v>2</v>
      </c>
      <c r="C31" s="187"/>
      <c r="D31" s="138" t="str">
        <f>Team1</f>
        <v>Mechanical Monkeys</v>
      </c>
      <c r="E31" s="133">
        <f>(IF(F31="y",$F$4,0))+(IF(G31="y",$G$4,0))+(IF(H31="y",$H$4,0))+(IF(I31="y",$I$4,0))+(IF((0&lt;J31)*(J31&lt;=16),J31*5,0))+(IF((0&lt;K31)*(K31&lt;=16),K31*2,0))+(IF(L31="y",$L$4,0))+(IF(M31="y",$M$4,0))+(IF((N31&gt;0)*(N31&lt;=3),N31*15,0))+(IF(O31="y",$O$4,0))+(IF(P31="y",$P$4,0))+(IF(Q31="y",$Q$4,0))+(IF(R31="y",$R$4,0))+(IF(S31="y",$S$4,0))+(IF((T31&gt;0)*(T31&lt;=3),T31*10,0))</f>
        <v>77</v>
      </c>
      <c r="F31" s="51"/>
      <c r="G31" s="51"/>
      <c r="H31" s="51"/>
      <c r="I31" s="51" t="s">
        <v>142</v>
      </c>
      <c r="J31" s="51">
        <v>1</v>
      </c>
      <c r="K31" s="51">
        <v>6</v>
      </c>
      <c r="L31" s="51"/>
      <c r="M31" s="51"/>
      <c r="N31" s="51"/>
      <c r="O31" s="51"/>
      <c r="P31" s="51"/>
      <c r="Q31" s="51"/>
      <c r="R31" s="51"/>
      <c r="S31" s="51"/>
      <c r="T31" s="51">
        <v>1</v>
      </c>
    </row>
    <row r="32" ht="13.5" thickBot="1"/>
    <row r="33" spans="1:20" ht="23.25" thickBot="1">
      <c r="A33" s="300" t="s">
        <v>165</v>
      </c>
      <c r="B33" s="140" t="s">
        <v>49</v>
      </c>
      <c r="C33" s="40" t="s">
        <v>50</v>
      </c>
      <c r="D33" s="40" t="s">
        <v>51</v>
      </c>
      <c r="E33" s="41"/>
      <c r="F33" s="42"/>
      <c r="G33" s="304">
        <f>IF(OR((AND(G34="y",H34="y")),(AND(G35="y",H35="y"))),"Too Many CDs","")</f>
      </c>
      <c r="H33" s="304"/>
      <c r="I33" s="304">
        <f>IF(AND(I34="Y",I35="Y"),"Too Many Balls In Center",IF((IF(I34="Y",1,IF(I35="Y",1,0))+J35+K35+J34+K34)&gt;16,"Too Many Balls",""))</f>
      </c>
      <c r="J33" s="305"/>
      <c r="K33" s="305"/>
      <c r="L33" s="304">
        <f>IF(OR((AND(L34="y",M34="y")),(AND(L35="y",M35="y"))),"Not Both Stairs","")</f>
      </c>
      <c r="M33" s="304"/>
      <c r="N33" s="43"/>
      <c r="O33" s="304">
        <f>IF(OR((AND(O34="y",P34="y")),(AND(O35="y",P35="y"))),"Not Both Positions","")</f>
      </c>
      <c r="P33" s="304"/>
      <c r="Q33" s="43"/>
      <c r="R33" s="304">
        <f>IF(OR((AND(R34="y",S34="y")),(AND(R35="y",S35="y"))),"Too Much Food","")</f>
      </c>
      <c r="S33" s="304"/>
      <c r="T33" s="44"/>
    </row>
    <row r="34" spans="1:20" ht="26.25" thickBot="1">
      <c r="A34" s="328"/>
      <c r="B34" s="142">
        <v>3</v>
      </c>
      <c r="C34" s="187">
        <v>0.09722222222222222</v>
      </c>
      <c r="D34" s="138" t="str">
        <f>Team2</f>
        <v>Electric Pussycat</v>
      </c>
      <c r="E34" s="133">
        <f>(IF(F34="y",$F$4,0))+(IF(G34="y",$G$4,0))+(IF(H34="y",$H$4,0))+(IF(I34="y",$I$4,0))+(IF((0&lt;J34)*(J34&lt;=16),J34*5,0))+(IF((0&lt;K34)*(K34&lt;=16),K34*2,0))+(IF(L34="y",$L$4,0))+(IF(M34="y",$M$4,0))+(IF((N34&gt;0)*(N34&lt;=3),N34*15,0))+(IF(O34="y",$O$4,0))+(IF(P34="y",$P$4,0))+(IF(Q34="y",$Q$4,0))+(IF(R34="y",$R$4,0))+(IF(S34="y",$S$4,0))+(IF((T34&gt;0)*(T34&lt;=3),T34*10,0))</f>
        <v>103</v>
      </c>
      <c r="F34" s="51"/>
      <c r="G34" s="51" t="s">
        <v>142</v>
      </c>
      <c r="H34" s="51"/>
      <c r="I34" s="51" t="s">
        <v>142</v>
      </c>
      <c r="J34" s="51">
        <v>1</v>
      </c>
      <c r="K34" s="51">
        <v>4</v>
      </c>
      <c r="L34" s="51"/>
      <c r="M34" s="51"/>
      <c r="N34" s="51"/>
      <c r="O34" s="51"/>
      <c r="P34" s="51"/>
      <c r="Q34" s="51"/>
      <c r="R34" s="51"/>
      <c r="S34" s="51"/>
      <c r="T34" s="51"/>
    </row>
    <row r="35" spans="1:20" ht="27" thickBot="1">
      <c r="A35" s="328"/>
      <c r="B35" s="141">
        <v>4</v>
      </c>
      <c r="C35" s="187"/>
      <c r="D35" s="138" t="str">
        <f>Team3</f>
        <v>Team Taffy</v>
      </c>
      <c r="E35" s="133">
        <f>(IF(F35="y",$F$4,0))+(IF(G35="y",$G$4,0))+(IF(H35="y",$H$4,0))+(IF(I35="y",$I$4,0))+(IF((0&lt;J35)*(J35&lt;=16),J35*5,0))+(IF((0&lt;K35)*(K35&lt;=16),K35*2,0))+(IF(L35="y",$L$4,0))+(IF(M35="y",$M$4,0))+(IF((N35&gt;0)*(N35&lt;=3),N35*15,0))+(IF(O35="y",$O$4,0))+(IF(P35="y",$P$4,0))+(IF(Q35="y",$Q$4,0))+(IF(R35="y",$R$4,0))+(IF(S35="y",$S$4,0))+(IF((T35&gt;0)*(T35&lt;=3),T35*10,0))</f>
        <v>75</v>
      </c>
      <c r="F35" s="51"/>
      <c r="G35" s="51"/>
      <c r="H35" s="51"/>
      <c r="I35" s="51"/>
      <c r="J35" s="51"/>
      <c r="K35" s="51">
        <v>5</v>
      </c>
      <c r="L35" s="51"/>
      <c r="M35" s="51"/>
      <c r="N35" s="51"/>
      <c r="O35" s="51"/>
      <c r="P35" s="51"/>
      <c r="Q35" s="51"/>
      <c r="R35" s="51" t="s">
        <v>142</v>
      </c>
      <c r="S35" s="51"/>
      <c r="T35" s="51">
        <v>2</v>
      </c>
    </row>
    <row r="36" spans="1:20" ht="23.25" thickBot="1">
      <c r="A36" s="328"/>
      <c r="B36" s="140" t="s">
        <v>49</v>
      </c>
      <c r="C36" s="40" t="s">
        <v>50</v>
      </c>
      <c r="D36" s="40" t="s">
        <v>51</v>
      </c>
      <c r="E36" s="134"/>
      <c r="F36" s="42"/>
      <c r="G36" s="304">
        <f>IF(OR((AND(G37="y",H37="y")),(AND(G38="y",H38="y"))),"Too Many CDs","")</f>
      </c>
      <c r="H36" s="304"/>
      <c r="I36" s="304">
        <f>IF(AND(I37="Y",I38="Y"),"Too Many Balls In Center",IF((IF(I37="Y",1,IF(I38="Y",1,0))+J38+K38+J37+K37)&gt;16,"Too Many Balls",""))</f>
      </c>
      <c r="J36" s="305"/>
      <c r="K36" s="305"/>
      <c r="L36" s="304">
        <f>IF(OR((AND(L37="y",M37="y")),(AND(L38="y",M38="y"))),"Not Both Stairs","")</f>
      </c>
      <c r="M36" s="304"/>
      <c r="N36" s="43"/>
      <c r="O36" s="304"/>
      <c r="P36" s="304"/>
      <c r="Q36" s="43"/>
      <c r="R36" s="304">
        <f>IF(OR((AND(R37="y",S37="y")),(AND(R38="y",S38="y"))),"Too Much Food","")</f>
      </c>
      <c r="S36" s="304"/>
      <c r="T36" s="44"/>
    </row>
    <row r="37" spans="1:20" ht="26.25" thickBot="1">
      <c r="A37" s="328"/>
      <c r="B37" s="142">
        <v>1</v>
      </c>
      <c r="C37" s="187">
        <v>0.10069444444444443</v>
      </c>
      <c r="D37" s="138" t="str">
        <f>Team4</f>
        <v>Army of Six</v>
      </c>
      <c r="E37" s="133">
        <f>(IF(F37="y",$F$4,0))+(IF(G37="y",$G$4,0))+(IF(H37="y",$H$4,0))+(IF(I37="y",$I$4,0))+(IF((0&lt;J37)*(J37&lt;=16),J37*5,0))+(IF((0&lt;K37)*(K37&lt;=16),K37*2,0))+(IF(L37="y",$L$4,0))+(IF(M37="y",$M$4,0))+(IF((N37&gt;0)*(N37&lt;=3),N37*15,0))+(IF(O37="y",$O$4,0))+(IF(P37="y",$P$4,0))+(IF(Q37="y",$Q$4,0))+(IF(R37="y",$R$4,0))+(IF(S37="y",$S$4,0))+(IF((T37&gt;0)*(T37&lt;=3),T37*10,0))</f>
        <v>107</v>
      </c>
      <c r="F37" s="51" t="s">
        <v>142</v>
      </c>
      <c r="G37" s="51" t="s">
        <v>142</v>
      </c>
      <c r="H37" s="51"/>
      <c r="I37" s="51"/>
      <c r="J37" s="51">
        <v>3</v>
      </c>
      <c r="K37" s="51">
        <v>1</v>
      </c>
      <c r="L37" s="51"/>
      <c r="M37" s="51"/>
      <c r="N37" s="51"/>
      <c r="O37" s="51"/>
      <c r="P37" s="51"/>
      <c r="Q37" s="51"/>
      <c r="R37" s="51"/>
      <c r="S37" s="51"/>
      <c r="T37" s="51">
        <v>1</v>
      </c>
    </row>
    <row r="38" spans="1:20" ht="27" thickBot="1">
      <c r="A38" s="328"/>
      <c r="B38" s="141">
        <v>2</v>
      </c>
      <c r="C38" s="187"/>
      <c r="D38" s="138" t="str">
        <f>Team5</f>
        <v>TheraBots</v>
      </c>
      <c r="E38" s="133">
        <f>(IF(F38="y",$F$4,0))+(IF(G38="y",$G$4,0))+(IF(H38="y",$H$4,0))+(IF(I38="y",$I$4,0))+(IF((0&lt;J38)*(J38&lt;=16),J38*5,0))+(IF((0&lt;K38)*(K38&lt;=16),K38*2,0))+(IF(L38="y",$L$4,0))+(IF(M38="y",$M$4,0))+(IF((N38&gt;0)*(N38&lt;=3),N38*15,0))+(IF(O38="y",$O$4,0))+(IF(P38="y",$P$4,0))+(IF(Q38="y",$Q$4,0))+(IF(R38="y",$R$4,0))+(IF(S38="y",$S$4,0))+(IF((T38&gt;0)*(T38&lt;=3),T38*10,0))</f>
        <v>142</v>
      </c>
      <c r="F38" s="51"/>
      <c r="G38" s="51"/>
      <c r="H38" s="51"/>
      <c r="I38" s="51" t="s">
        <v>142</v>
      </c>
      <c r="J38" s="51">
        <v>3</v>
      </c>
      <c r="K38" s="51">
        <v>6</v>
      </c>
      <c r="L38" s="51" t="s">
        <v>142</v>
      </c>
      <c r="M38" s="51"/>
      <c r="N38" s="51"/>
      <c r="O38" s="51"/>
      <c r="P38" s="51"/>
      <c r="Q38" s="51"/>
      <c r="R38" s="51"/>
      <c r="S38" s="51"/>
      <c r="T38" s="51">
        <v>2</v>
      </c>
    </row>
    <row r="39" spans="1:20" ht="23.25" thickBot="1">
      <c r="A39" s="328"/>
      <c r="B39" s="140" t="s">
        <v>49</v>
      </c>
      <c r="C39" s="40" t="s">
        <v>50</v>
      </c>
      <c r="D39" s="40" t="s">
        <v>51</v>
      </c>
      <c r="E39" s="134"/>
      <c r="F39" s="42"/>
      <c r="G39" s="304">
        <f>IF(OR((AND(G40="y",H40="y")),(AND(G41="y",H41="y"))),"Too Many CDs","")</f>
      </c>
      <c r="H39" s="304"/>
      <c r="I39" s="304">
        <f>IF(AND(I40="Y",I41="Y"),"Too Many Balls In Center",IF((IF(I40="Y",1,IF(I41="Y",1,0))+J41+K41+J40+K40)&gt;16,"Too Many Balls",""))</f>
      </c>
      <c r="J39" s="305"/>
      <c r="K39" s="305"/>
      <c r="L39" s="304">
        <f>IF(OR((AND(L40="y",M40="y")),(AND(L41="y",M41="y"))),"Not Both Stairs","")</f>
      </c>
      <c r="M39" s="304"/>
      <c r="N39" s="43"/>
      <c r="O39" s="304">
        <f>IF(OR((AND(O40="y",P40="y")),(AND(O41="y",P41="y"))),"Not Both Positions","")</f>
      </c>
      <c r="P39" s="304"/>
      <c r="Q39" s="43"/>
      <c r="R39" s="304">
        <f>IF(OR((AND(R40="y",S40="y")),(AND(R41="y",S41="y"))),"Too Much Food","")</f>
      </c>
      <c r="S39" s="304"/>
      <c r="T39" s="44"/>
    </row>
    <row r="40" spans="1:20" ht="26.25" thickBot="1">
      <c r="A40" s="328"/>
      <c r="B40" s="142">
        <v>3</v>
      </c>
      <c r="C40" s="187">
        <v>0.10416666666666667</v>
      </c>
      <c r="D40" s="138" t="str">
        <f>Team6</f>
        <v>RoboFreaks</v>
      </c>
      <c r="E40" s="133">
        <f>(IF(F40="y",$F$4,0))+(IF(G40="y",$G$4,0))+(IF(H40="y",$H$4,0))+(IF(I40="y",$I$4,0))+(IF((0&lt;J40)*(J40&lt;=16),J40*5,0))+(IF((0&lt;K40)*(K40&lt;=16),K40*2,0))+(IF(L40="y",$L$4,0))+(IF(M40="y",$M$4,0))+(IF((N40&gt;0)*(N40&lt;=3),N40*15,0))+(IF(O40="y",$O$4,0))+(IF(P40="y",$P$4,0))+(IF(Q40="y",$Q$4,0))+(IF(R40="y",$R$4,0))+(IF(S40="y",$S$4,0))+(IF((T40&gt;0)*(T40&lt;=3),T40*10,0))</f>
        <v>55</v>
      </c>
      <c r="F40" s="51" t="s">
        <v>142</v>
      </c>
      <c r="G40" s="51"/>
      <c r="H40" s="51"/>
      <c r="I40" s="51"/>
      <c r="J40" s="51">
        <v>1</v>
      </c>
      <c r="K40" s="51">
        <v>5</v>
      </c>
      <c r="L40" s="51"/>
      <c r="M40" s="51"/>
      <c r="N40" s="51"/>
      <c r="O40" s="51"/>
      <c r="P40" s="51"/>
      <c r="Q40" s="51"/>
      <c r="R40" s="51"/>
      <c r="S40" s="51"/>
      <c r="T40" s="51"/>
    </row>
    <row r="41" spans="1:20" ht="27" thickBot="1">
      <c r="A41" s="328"/>
      <c r="B41" s="141">
        <v>4</v>
      </c>
      <c r="C41" s="187"/>
      <c r="D41" s="138" t="str">
        <f>Team7</f>
        <v>CyberBots</v>
      </c>
      <c r="E41" s="133">
        <f>(IF(F41="y",$F$4,0))+(IF(G41="y",$G$4,0))+(IF(H41="y",$H$4,0))+(IF(I41="y",$I$4,0))+(IF((0&lt;J41)*(J41&lt;=16),J41*5,0))+(IF((0&lt;K41)*(K41&lt;=16),K41*2,0))+(IF(L41="y",$L$4,0))+(IF(M41="y",$M$4,0))+(IF((N41&gt;0)*(N41&lt;=3),N41*15,0))+(IF(O41="y",$O$4,0))+(IF(P41="y",$P$4,0))+(IF(Q41="y",$Q$4,0))+(IF(R41="y",$R$4,0))+(IF(S41="y",$S$4,0))+(IF((T41&gt;0)*(T41&lt;=3),T41*10,0))</f>
        <v>85</v>
      </c>
      <c r="F41" s="51"/>
      <c r="G41" s="51"/>
      <c r="H41" s="51"/>
      <c r="I41" s="51" t="s">
        <v>142</v>
      </c>
      <c r="J41" s="51">
        <v>7</v>
      </c>
      <c r="K41" s="51"/>
      <c r="L41" s="51"/>
      <c r="M41" s="51"/>
      <c r="N41" s="51"/>
      <c r="O41" s="51"/>
      <c r="P41" s="51"/>
      <c r="Q41" s="51"/>
      <c r="R41" s="51"/>
      <c r="S41" s="51"/>
      <c r="T41" s="51"/>
    </row>
    <row r="42" spans="1:20" ht="23.25" thickBot="1">
      <c r="A42" s="328"/>
      <c r="B42" s="140" t="s">
        <v>49</v>
      </c>
      <c r="C42" s="40" t="s">
        <v>50</v>
      </c>
      <c r="D42" s="40" t="s">
        <v>51</v>
      </c>
      <c r="E42" s="134"/>
      <c r="F42" s="42"/>
      <c r="G42" s="304">
        <f>IF(OR((AND(G43="y",H43="y")),(AND(G44="y",H44="y"))),"Too Many CDs","")</f>
      </c>
      <c r="H42" s="304"/>
      <c r="I42" s="304">
        <f>IF(AND(I43="Y",I44="Y"),"Too Many Balls In Center",IF((IF(I43="Y",1,IF(I44="Y",1,0))+J44+K44+J43+K43)&gt;16,"Too Many Balls",""))</f>
      </c>
      <c r="J42" s="305"/>
      <c r="K42" s="305"/>
      <c r="L42" s="304">
        <f>IF(OR((AND(L43="y",M43="y")),(AND(L44="y",M44="y"))),"Not Both Stairs","")</f>
      </c>
      <c r="M42" s="304"/>
      <c r="N42" s="43"/>
      <c r="O42" s="304">
        <f>IF(OR((AND(O43="y",P43="y")),(AND(O44="y",P44="y"))),"Not Both Positions","")</f>
      </c>
      <c r="P42" s="304"/>
      <c r="Q42" s="43"/>
      <c r="R42" s="304">
        <f>IF(OR((AND(R43="y",S43="y")),(AND(R44="y",S44="y"))),"Too Much Food","")</f>
      </c>
      <c r="S42" s="304"/>
      <c r="T42" s="44"/>
    </row>
    <row r="43" spans="1:20" ht="26.25" thickBot="1">
      <c r="A43" s="328"/>
      <c r="B43" s="142">
        <v>1</v>
      </c>
      <c r="C43" s="187">
        <v>0.1076388888888889</v>
      </c>
      <c r="D43" s="138" t="str">
        <f>Team8</f>
        <v>Roboraiders</v>
      </c>
      <c r="E43" s="133">
        <f>(IF(F43="y",$F$4,0))+(IF(G43="y",$G$4,0))+(IF(H43="y",$H$4,0))+(IF(I43="y",$I$4,0))+(IF((0&lt;J43)*(J43&lt;=16),J43*5,0))+(IF((0&lt;K43)*(K43&lt;=16),K43*2,0))+(IF(L43="y",$L$4,0))+(IF(M43="y",$M$4,0))+(IF((N43&gt;0)*(N43&lt;=3),N43*15,0))+(IF(O43="y",$O$4,0))+(IF(P43="y",$P$4,0))+(IF(Q43="y",$Q$4,0))+(IF(R43="y",$R$4,0))+(IF(S43="y",$S$4,0))+(IF((T43&gt;0)*(T43&lt;=3),T43*10,0))</f>
        <v>161</v>
      </c>
      <c r="F43" s="51" t="s">
        <v>142</v>
      </c>
      <c r="G43" s="51" t="s">
        <v>142</v>
      </c>
      <c r="H43" s="51"/>
      <c r="I43" s="51"/>
      <c r="J43" s="51"/>
      <c r="K43" s="51">
        <v>8</v>
      </c>
      <c r="L43" s="51"/>
      <c r="M43" s="51"/>
      <c r="N43" s="51"/>
      <c r="O43" s="51"/>
      <c r="P43" s="51"/>
      <c r="Q43" s="51"/>
      <c r="R43" s="51" t="s">
        <v>142</v>
      </c>
      <c r="S43" s="51"/>
      <c r="T43" s="51">
        <v>2</v>
      </c>
    </row>
    <row r="44" spans="1:20" ht="27" thickBot="1">
      <c r="A44" s="328"/>
      <c r="B44" s="141">
        <v>2</v>
      </c>
      <c r="C44" s="187"/>
      <c r="D44" s="138" t="str">
        <f>Team9</f>
        <v>RoboPups</v>
      </c>
      <c r="E44" s="133">
        <f>(IF(F44="y",$F$4,0))+(IF(G44="y",$G$4,0))+(IF(H44="y",$H$4,0))+(IF(I44="y",$I$4,0))+(IF((0&lt;J44)*(J44&lt;=16),J44*5,0))+(IF((0&lt;K44)*(K44&lt;=16),K44*2,0))+(IF(L44="y",$L$4,0))+(IF(M44="y",$M$4,0))+(IF((N44&gt;0)*(N44&lt;=3),N44*15,0))+(IF(O44="y",$O$4,0))+(IF(P44="y",$P$4,0))+(IF(Q44="y",$Q$4,0))+(IF(R44="y",$R$4,0))+(IF(S44="y",$S$4,0))+(IF((T44&gt;0)*(T44&lt;=3),T44*10,0))</f>
        <v>76</v>
      </c>
      <c r="F44" s="51" t="s">
        <v>142</v>
      </c>
      <c r="G44" s="51"/>
      <c r="H44" s="51"/>
      <c r="I44" s="51"/>
      <c r="J44" s="51"/>
      <c r="K44" s="51">
        <v>8</v>
      </c>
      <c r="L44" s="51"/>
      <c r="M44" s="51"/>
      <c r="N44" s="51"/>
      <c r="O44" s="51"/>
      <c r="P44" s="51"/>
      <c r="Q44" s="51"/>
      <c r="R44" s="51"/>
      <c r="S44" s="51"/>
      <c r="T44" s="51">
        <v>2</v>
      </c>
    </row>
    <row r="45" spans="1:20" ht="23.25" thickBot="1">
      <c r="A45" s="328"/>
      <c r="B45" s="140" t="s">
        <v>49</v>
      </c>
      <c r="C45" s="40" t="s">
        <v>50</v>
      </c>
      <c r="D45" s="40" t="s">
        <v>51</v>
      </c>
      <c r="E45" s="134"/>
      <c r="F45" s="42"/>
      <c r="G45" s="304">
        <f>IF(OR((AND(G46="y",H46="y")),(AND(G47="y",H47="y"))),"Too Many CDs","")</f>
      </c>
      <c r="H45" s="304"/>
      <c r="I45" s="304">
        <f>IF(AND(I46="Y",I47="Y"),"Too Many Balls In Center",IF((IF(I46="Y",1,IF(I47="Y",1,0))+J47+K47+J46+K46)&gt;16,"Too Many Balls",""))</f>
      </c>
      <c r="J45" s="305"/>
      <c r="K45" s="305"/>
      <c r="L45" s="304">
        <f>IF(OR((AND(L46="y",M46="y")),(AND(L47="y",M47="y"))),"Not Both Stairs","")</f>
      </c>
      <c r="M45" s="304"/>
      <c r="N45" s="43"/>
      <c r="O45" s="304">
        <f>IF(OR((AND(O46="y",P46="y")),(AND(O47="y",P47="y"))),"Not Both Positions","")</f>
      </c>
      <c r="P45" s="304"/>
      <c r="Q45" s="43"/>
      <c r="R45" s="304">
        <f>IF(OR((AND(R46="y",S46="y")),(AND(R47="y",S47="y"))),"Too Much Food","")</f>
      </c>
      <c r="S45" s="304"/>
      <c r="T45" s="44"/>
    </row>
    <row r="46" spans="1:20" ht="26.25" thickBot="1">
      <c r="A46" s="328"/>
      <c r="B46" s="142">
        <v>3</v>
      </c>
      <c r="C46" s="187">
        <v>0.1111111111111111</v>
      </c>
      <c r="D46" s="138" t="str">
        <f>Team10</f>
        <v>Battery-powered Legomen</v>
      </c>
      <c r="E46" s="133">
        <f>(IF(F46="y",$F$4,0))+(IF(G46="y",$G$4,0))+(IF(H46="y",$H$4,0))+(IF(I46="y",$I$4,0))+(IF((0&lt;J46)*(J46&lt;=16),J46*5,0))+(IF((0&lt;K46)*(K46&lt;=16),K46*2,0))+(IF(L46="y",$L$4,0))+(IF(M46="y",$M$4,0))+(IF((N46&gt;0)*(N46&lt;=3),N46*15,0))+(IF(O46="y",$O$4,0))+(IF(P46="y",$P$4,0))+(IF(Q46="y",$Q$4,0))+(IF(R46="y",$R$4,0))+(IF(S46="y",$S$4,0))+(IF((T46&gt;0)*(T46&lt;=3),T46*10,0))</f>
        <v>14</v>
      </c>
      <c r="F46" s="51"/>
      <c r="G46" s="51"/>
      <c r="H46" s="51"/>
      <c r="I46" s="51"/>
      <c r="J46" s="51"/>
      <c r="K46" s="51">
        <v>2</v>
      </c>
      <c r="L46" s="51"/>
      <c r="M46" s="51"/>
      <c r="N46" s="51"/>
      <c r="O46" s="51"/>
      <c r="P46" s="51"/>
      <c r="Q46" s="51"/>
      <c r="R46" s="51"/>
      <c r="S46" s="51"/>
      <c r="T46" s="51">
        <v>1</v>
      </c>
    </row>
    <row r="47" spans="1:20" ht="27" thickBot="1">
      <c r="A47" s="328"/>
      <c r="B47" s="141">
        <v>4</v>
      </c>
      <c r="C47" s="187"/>
      <c r="D47" s="138" t="str">
        <f>Team11</f>
        <v>CyberDisks</v>
      </c>
      <c r="E47" s="133">
        <f>(IF(F47="y",$F$4,0))+(IF(G47="y",$G$4,0))+(IF(H47="y",$H$4,0))+(IF(I47="y",$I$4,0))+(IF((0&lt;J47)*(J47&lt;=16),J47*5,0))+(IF((0&lt;K47)*(K47&lt;=16),K47*2,0))+(IF(L47="y",$L$4,0))+(IF(M47="y",$M$4,0))+(IF((N47&gt;0)*(N47&lt;=3),N47*15,0))+(IF(O47="y",$O$4,0))+(IF(P47="y",$P$4,0))+(IF(Q47="y",$Q$4,0))+(IF(R47="y",$R$4,0))+(IF(S47="y",$S$4,0))+(IF((T47&gt;0)*(T47&lt;=3),T47*10,0))</f>
        <v>25</v>
      </c>
      <c r="F47" s="51"/>
      <c r="G47" s="51"/>
      <c r="H47" s="51"/>
      <c r="I47" s="51"/>
      <c r="J47" s="51">
        <v>1</v>
      </c>
      <c r="K47" s="51">
        <v>5</v>
      </c>
      <c r="L47" s="51"/>
      <c r="M47" s="51"/>
      <c r="N47" s="51"/>
      <c r="O47" s="51"/>
      <c r="P47" s="51"/>
      <c r="Q47" s="51"/>
      <c r="R47" s="51"/>
      <c r="S47" s="51"/>
      <c r="T47" s="51">
        <v>1</v>
      </c>
    </row>
    <row r="48" spans="1:20" ht="23.25" thickBot="1">
      <c r="A48" s="328"/>
      <c r="B48" s="140" t="s">
        <v>49</v>
      </c>
      <c r="C48" s="40" t="s">
        <v>50</v>
      </c>
      <c r="D48" s="40" t="s">
        <v>51</v>
      </c>
      <c r="E48" s="134"/>
      <c r="F48" s="42"/>
      <c r="G48" s="304">
        <f>IF(OR((AND(G49="y",H49="y")),(AND(G50="y",H50="y"))),"Too Many CDs","")</f>
      </c>
      <c r="H48" s="304"/>
      <c r="I48" s="304">
        <f>IF(AND(I49="Y",I50="Y"),"Too Many Balls In Center",IF((IF(I49="Y",1,IF(I50="Y",1,0))+J50+K50+J49+K49)&gt;16,"Too Many Balls",""))</f>
      </c>
      <c r="J48" s="305"/>
      <c r="K48" s="305"/>
      <c r="L48" s="304">
        <f>IF(OR((AND(L49="y",M49="y")),(AND(L50="y",M50="y"))),"Not Both Stairs","")</f>
      </c>
      <c r="M48" s="304"/>
      <c r="N48" s="43"/>
      <c r="O48" s="304">
        <f>IF(OR((AND(O49="y",P49="y")),(AND(O50="y",P50="y"))),"Not Both Positions","")</f>
      </c>
      <c r="P48" s="304"/>
      <c r="Q48" s="43"/>
      <c r="R48" s="304">
        <f>IF(OR((AND(R49="y",S49="y")),(AND(R50="y",S50="y"))),"Too Much Food","")</f>
      </c>
      <c r="S48" s="304"/>
      <c r="T48" s="44"/>
    </row>
    <row r="49" spans="1:20" ht="26.25" thickBot="1">
      <c r="A49" s="328"/>
      <c r="B49" s="142">
        <v>1</v>
      </c>
      <c r="C49" s="187">
        <v>0.11458333333333333</v>
      </c>
      <c r="D49" s="138" t="str">
        <f>Team12</f>
        <v>Lego Legends</v>
      </c>
      <c r="E49" s="133">
        <f>(IF(F49="y",$F$4,0))+(IF(G49="y",$G$4,0))+(IF(H49="y",$H$4,0))+(IF(I49="y",$I$4,0))+(IF((0&lt;J49)*(J49&lt;=16),J49*5,0))+(IF((0&lt;K49)*(K49&lt;=16),K49*2,0))+(IF(L49="y",$L$4,0))+(IF(M49="y",$M$4,0))+(IF((N49&gt;0)*(N49&lt;=3),N49*15,0))+(IF(O49="y",$O$4,0))+(IF(P49="y",$P$4,0))+(IF(Q49="y",$Q$4,0))+(IF(R49="y",$R$4,0))+(IF(S49="y",$S$4,0))+(IF((T49&gt;0)*(T49&lt;=3),T49*10,0))</f>
        <v>197</v>
      </c>
      <c r="F49" s="51" t="s">
        <v>142</v>
      </c>
      <c r="G49" s="51" t="s">
        <v>142</v>
      </c>
      <c r="H49" s="51"/>
      <c r="I49" s="51" t="s">
        <v>142</v>
      </c>
      <c r="J49" s="51"/>
      <c r="K49" s="51">
        <v>6</v>
      </c>
      <c r="L49" s="51"/>
      <c r="M49" s="51"/>
      <c r="N49" s="51">
        <v>3</v>
      </c>
      <c r="O49" s="51"/>
      <c r="P49" s="51"/>
      <c r="Q49" s="51"/>
      <c r="R49" s="51"/>
      <c r="S49" s="51"/>
      <c r="T49" s="51">
        <v>1</v>
      </c>
    </row>
    <row r="50" spans="1:20" ht="27" thickBot="1">
      <c r="A50" s="328"/>
      <c r="B50" s="141">
        <v>2</v>
      </c>
      <c r="C50" s="187"/>
      <c r="D50" s="138" t="str">
        <f>Team13</f>
        <v>Rocking Robotics</v>
      </c>
      <c r="E50" s="133">
        <f>(IF(F50="y",$F$4,0))+(IF(G50="y",$G$4,0))+(IF(H50="y",$H$4,0))+(IF(I50="y",$I$4,0))+(IF((0&lt;J50)*(J50&lt;=16),J50*5,0))+(IF((0&lt;K50)*(K50&lt;=16),K50*2,0))+(IF(L50="y",$L$4,0))+(IF(M50="y",$M$4,0))+(IF((N50&gt;0)*(N50&lt;=3),N50*15,0))+(IF(O50="y",$O$4,0))+(IF(P50="y",$P$4,0))+(IF(Q50="y",$Q$4,0))+(IF(R50="y",$R$4,0))+(IF(S50="y",$S$4,0))+(IF((T50&gt;0)*(T50&lt;=3),T50*10,0))</f>
        <v>58</v>
      </c>
      <c r="F50" s="51" t="s">
        <v>142</v>
      </c>
      <c r="G50" s="51"/>
      <c r="H50" s="51"/>
      <c r="I50" s="51"/>
      <c r="J50" s="51"/>
      <c r="K50" s="51">
        <v>4</v>
      </c>
      <c r="L50" s="51"/>
      <c r="M50" s="51"/>
      <c r="N50" s="51"/>
      <c r="O50" s="51"/>
      <c r="P50" s="51"/>
      <c r="Q50" s="51"/>
      <c r="R50" s="51"/>
      <c r="S50" s="51"/>
      <c r="T50" s="51">
        <v>1</v>
      </c>
    </row>
    <row r="51" spans="1:20" ht="23.25" thickBot="1">
      <c r="A51" s="328"/>
      <c r="B51" s="140" t="s">
        <v>49</v>
      </c>
      <c r="C51" s="40" t="s">
        <v>50</v>
      </c>
      <c r="D51" s="40" t="s">
        <v>51</v>
      </c>
      <c r="E51" s="134"/>
      <c r="F51" s="42"/>
      <c r="G51" s="304">
        <f>IF(OR((AND(G52="y",H52="y")),(AND(G53="y",H53="y"))),"Too Many CDs","")</f>
      </c>
      <c r="H51" s="304"/>
      <c r="I51" s="304">
        <f>IF(AND(I52="Y",I53="Y"),"Too Many Balls In Center",IF((IF(I52="Y",1,IF(I53="Y",1,0))+J53+K53+J52+K52)&gt;16,"Too Many Balls",""))</f>
      </c>
      <c r="J51" s="305"/>
      <c r="K51" s="305"/>
      <c r="L51" s="304">
        <f>IF(OR((AND(L52="y",M52="y")),(AND(L53="y",M53="y"))),"Not Both Stairs","")</f>
      </c>
      <c r="M51" s="304"/>
      <c r="N51" s="43"/>
      <c r="O51" s="304">
        <f>IF(OR((AND(O52="y",P52="y")),(AND(O53="y",P53="y"))),"Not Both Positions","")</f>
      </c>
      <c r="P51" s="304"/>
      <c r="Q51" s="43"/>
      <c r="R51" s="304">
        <f>IF(OR((AND(R52="y",S52="y")),(AND(R53="y",S53="y"))),"Too Much Food","")</f>
      </c>
      <c r="S51" s="304"/>
      <c r="T51" s="44"/>
    </row>
    <row r="52" spans="1:20" ht="26.25" thickBot="1">
      <c r="A52" s="328"/>
      <c r="B52" s="142">
        <v>3</v>
      </c>
      <c r="C52" s="187">
        <v>0.11805555555555557</v>
      </c>
      <c r="D52" s="138" t="str">
        <f>Team14</f>
        <v>Happy Hippos</v>
      </c>
      <c r="E52" s="133">
        <f>(IF(F52="y",$F$4,0))+(IF(G52="y",$G$4,0))+(IF(H52="y",$H$4,0))+(IF(I52="y",$I$4,0))+(IF((0&lt;J52)*(J52&lt;=16),J52*5,0))+(IF((0&lt;K52)*(K52&lt;=16),K52*2,0))+(IF(L52="y",$L$4,0))+(IF(M52="y",$M$4,0))+(IF((N52&gt;0)*(N52&lt;=3),N52*15,0))+(IF(O52="y",$O$4,0))+(IF(P52="y",$P$4,0))+(IF(Q52="y",$Q$4,0))+(IF(R52="y",$R$4,0))+(IF(S52="y",$S$4,0))+(IF((T52&gt;0)*(T52&lt;=3),T52*10,0))</f>
        <v>157</v>
      </c>
      <c r="F52" s="51"/>
      <c r="G52" s="51"/>
      <c r="H52" s="51" t="s">
        <v>142</v>
      </c>
      <c r="I52" s="51"/>
      <c r="J52" s="51"/>
      <c r="K52" s="51">
        <v>6</v>
      </c>
      <c r="L52" s="51" t="s">
        <v>142</v>
      </c>
      <c r="M52" s="51"/>
      <c r="N52" s="51"/>
      <c r="O52" s="51" t="s">
        <v>142</v>
      </c>
      <c r="P52" s="51"/>
      <c r="Q52" s="51"/>
      <c r="R52" s="51"/>
      <c r="S52" s="51"/>
      <c r="T52" s="51">
        <v>3</v>
      </c>
    </row>
    <row r="53" spans="1:20" ht="27" thickBot="1">
      <c r="A53" s="328"/>
      <c r="B53" s="141">
        <v>4</v>
      </c>
      <c r="C53" s="187"/>
      <c r="D53" s="138" t="str">
        <f>Team15</f>
        <v>DogBots</v>
      </c>
      <c r="E53" s="133">
        <f>(IF(F53="y",$F$4,0))+(IF(G53="y",$G$4,0))+(IF(H53="y",$H$4,0))+(IF(I53="y",$I$4,0))+(IF((0&lt;J53)*(J53&lt;=16),J53*5,0))+(IF((0&lt;K53)*(K53&lt;=16),K53*2,0))+(IF(L53="y",$L$4,0))+(IF(M53="y",$M$4,0))+(IF((N53&gt;0)*(N53&lt;=3),N53*15,0))+(IF(O53="y",$O$4,0))+(IF(P53="y",$P$4,0))+(IF(Q53="y",$Q$4,0))+(IF(R53="y",$R$4,0))+(IF(S53="y",$S$4,0))+(IF((T53&gt;0)*(T53&lt;=3),T53*10,0))</f>
        <v>270</v>
      </c>
      <c r="F53" s="51"/>
      <c r="G53" s="51" t="s">
        <v>142</v>
      </c>
      <c r="H53" s="51"/>
      <c r="I53" s="51" t="s">
        <v>142</v>
      </c>
      <c r="J53" s="51"/>
      <c r="K53" s="51">
        <v>5</v>
      </c>
      <c r="L53" s="51"/>
      <c r="M53" s="51"/>
      <c r="N53" s="51">
        <v>3</v>
      </c>
      <c r="O53" s="51" t="s">
        <v>142</v>
      </c>
      <c r="P53" s="51"/>
      <c r="Q53" s="51" t="s">
        <v>142</v>
      </c>
      <c r="R53" s="51" t="s">
        <v>142</v>
      </c>
      <c r="S53" s="51"/>
      <c r="T53" s="51">
        <v>1</v>
      </c>
    </row>
    <row r="54" spans="1:20" ht="23.25" thickBot="1">
      <c r="A54" s="328"/>
      <c r="B54" s="140" t="s">
        <v>49</v>
      </c>
      <c r="C54" s="40" t="s">
        <v>50</v>
      </c>
      <c r="D54" s="40" t="s">
        <v>51</v>
      </c>
      <c r="E54" s="134"/>
      <c r="F54" s="42"/>
      <c r="G54" s="304">
        <f>IF(OR((AND(G55="y",H55="y")),(AND(G56="y",H56="y"))),"Too Many CDs","")</f>
      </c>
      <c r="H54" s="304"/>
      <c r="I54" s="304">
        <f>IF(AND(I55="Y",I56="Y"),"Too Many Balls In Center",IF((IF(I55="Y",1,IF(I56="Y",1,0))+J56+K56+J55+K55)&gt;16,"Too Many Balls",""))</f>
      </c>
      <c r="J54" s="305"/>
      <c r="K54" s="305"/>
      <c r="L54" s="304">
        <f>IF(OR((AND(L55="y",M55="y")),(AND(L56="y",M56="y"))),"Not Both Stairs","")</f>
      </c>
      <c r="M54" s="304"/>
      <c r="N54" s="43"/>
      <c r="O54" s="304">
        <f>IF(OR((AND(O55="y",P55="y")),(AND(O56="y",P56="y"))),"Not Both Positions","")</f>
      </c>
      <c r="P54" s="304"/>
      <c r="Q54" s="43"/>
      <c r="R54" s="304">
        <f>IF(OR((AND(R55="y",S55="y")),(AND(R56="y",S56="y"))),"Too Much Food","")</f>
      </c>
      <c r="S54" s="304"/>
      <c r="T54" s="44"/>
    </row>
    <row r="55" spans="1:20" ht="26.25" thickBot="1">
      <c r="A55" s="328"/>
      <c r="B55" s="142">
        <v>1</v>
      </c>
      <c r="C55" s="187">
        <v>0.12152777777777778</v>
      </c>
      <c r="D55" s="138" t="str">
        <f>Team16</f>
        <v>Catbot 2000</v>
      </c>
      <c r="E55" s="133">
        <f>(IF(F55="y",$F$4,0))+(IF(G55="y",$G$4,0))+(IF(H55="y",$H$4,0))+(IF(I55="y",$I$4,0))+(IF((0&lt;J55)*(J55&lt;=16),J55*5,0))+(IF((0&lt;K55)*(K55&lt;=16),K55*2,0))+(IF(L55="y",$L$4,0))+(IF(M55="y",$M$4,0))+(IF((N55&gt;0)*(N55&lt;=3),N55*15,0))+(IF(O55="y",$O$4,0))+(IF(P55="y",$P$4,0))+(IF(Q55="y",$Q$4,0))+(IF(R55="y",$R$4,0))+(IF(S55="y",$S$4,0))+(IF((T55&gt;0)*(T55&lt;=3),T55*10,0))</f>
        <v>109</v>
      </c>
      <c r="F55" s="51"/>
      <c r="G55" s="51" t="s">
        <v>142</v>
      </c>
      <c r="H55" s="51"/>
      <c r="I55" s="51"/>
      <c r="J55" s="51"/>
      <c r="K55" s="51">
        <v>7</v>
      </c>
      <c r="L55" s="51"/>
      <c r="M55" s="51"/>
      <c r="N55" s="51"/>
      <c r="O55" s="51"/>
      <c r="P55" s="51"/>
      <c r="Q55" s="51" t="s">
        <v>142</v>
      </c>
      <c r="R55" s="51"/>
      <c r="S55" s="51"/>
      <c r="T55" s="51">
        <v>2</v>
      </c>
    </row>
    <row r="56" spans="1:20" ht="27" thickBot="1">
      <c r="A56" s="328"/>
      <c r="B56" s="141">
        <v>2</v>
      </c>
      <c r="C56" s="187"/>
      <c r="D56" s="138" t="str">
        <f>Team17</f>
        <v>TigerBots</v>
      </c>
      <c r="E56" s="133">
        <f>(IF(F56="y",$F$4,0))+(IF(G56="y",$G$4,0))+(IF(H56="y",$H$4,0))+(IF(I56="y",$I$4,0))+(IF((0&lt;J56)*(J56&lt;=16),J56*5,0))+(IF((0&lt;K56)*(K56&lt;=16),K56*2,0))+(IF(L56="y",$L$4,0))+(IF(M56="y",$M$4,0))+(IF((N56&gt;0)*(N56&lt;=3),N56*15,0))+(IF(O56="y",$O$4,0))+(IF(P56="y",$P$4,0))+(IF(Q56="y",$Q$4,0))+(IF(R56="y",$R$4,0))+(IF(S56="y",$S$4,0))+(IF((T56&gt;0)*(T56&lt;=3),T56*10,0))</f>
        <v>254</v>
      </c>
      <c r="F56" s="51" t="s">
        <v>142</v>
      </c>
      <c r="G56" s="51" t="s">
        <v>142</v>
      </c>
      <c r="H56" s="51"/>
      <c r="I56" s="51" t="s">
        <v>142</v>
      </c>
      <c r="J56" s="51"/>
      <c r="K56" s="51">
        <v>7</v>
      </c>
      <c r="L56" s="51"/>
      <c r="M56" s="51"/>
      <c r="N56" s="51"/>
      <c r="O56" s="51"/>
      <c r="P56" s="51"/>
      <c r="Q56" s="51" t="s">
        <v>142</v>
      </c>
      <c r="R56" s="51" t="s">
        <v>142</v>
      </c>
      <c r="S56" s="51"/>
      <c r="T56" s="51">
        <v>3</v>
      </c>
    </row>
    <row r="57" ht="13.5" thickBot="1"/>
    <row r="58" spans="1:20" ht="23.25" thickBot="1">
      <c r="A58" s="300" t="s">
        <v>166</v>
      </c>
      <c r="B58" s="140" t="s">
        <v>49</v>
      </c>
      <c r="C58" s="40" t="s">
        <v>50</v>
      </c>
      <c r="D58" s="40" t="s">
        <v>51</v>
      </c>
      <c r="E58" s="41"/>
      <c r="F58" s="42"/>
      <c r="G58" s="304">
        <f>IF(OR((AND(G59="y",H59="y")),(AND(G60="y",H60="y"))),"Too Many CDs","")</f>
      </c>
      <c r="H58" s="304"/>
      <c r="I58" s="304">
        <f>IF(AND(I59="Y",I60="Y"),"Too Many Balls In Center",IF((IF(I59="Y",1,IF(I60="Y",1,0))+J60+K60+J59+K59)&gt;16,"Too Many Balls",""))</f>
      </c>
      <c r="J58" s="305"/>
      <c r="K58" s="305"/>
      <c r="L58" s="304">
        <f>IF(OR((AND(L59="y",M59="y")),(AND(L60="y",M60="y"))),"Not Both Stairs","")</f>
      </c>
      <c r="M58" s="304"/>
      <c r="N58" s="43"/>
      <c r="O58" s="304">
        <f>IF(OR((AND(O59="y",P59="y")),(AND(O60="y",P60="y"))),"Not Both Positions","")</f>
      </c>
      <c r="P58" s="304"/>
      <c r="Q58" s="43"/>
      <c r="R58" s="304">
        <f>IF(OR((AND(R59="y",S59="y")),(AND(R60="y",S60="y"))),"Too Much Food","")</f>
      </c>
      <c r="S58" s="304"/>
      <c r="T58" s="44"/>
    </row>
    <row r="59" spans="1:20" ht="26.25" thickBot="1">
      <c r="A59" s="328"/>
      <c r="B59" s="142">
        <v>1</v>
      </c>
      <c r="C59" s="187">
        <v>0.12847222222222224</v>
      </c>
      <c r="D59" s="138" t="str">
        <f>Team1</f>
        <v>Mechanical Monkeys</v>
      </c>
      <c r="E59" s="133">
        <f>(IF(F59="y",$F$4,0))+(IF(G59="y",$G$4,0))+(IF(H59="y",$H$4,0))+(IF(I59="y",$I$4,0))+(IF((0&lt;J59)*(J59&lt;=16),J59*5,0))+(IF((0&lt;K59)*(K59&lt;=16),K59*2,0))+(IF(L59="y",$L$4,0))+(IF(M59="y",$M$4,0))+(IF((N59&gt;0)*(N59&lt;=3),N59*15,0))+(IF(O59="y",$O$4,0))+(IF(P59="y",$P$4,0))+(IF(Q59="y",$Q$4,0))+(IF(R59="y",$R$4,0))+(IF(S59="y",$S$4,0))+(IF((T59&gt;0)*(T59&lt;=3),T59*10,0))</f>
        <v>32</v>
      </c>
      <c r="F59" s="51"/>
      <c r="G59" s="51"/>
      <c r="H59" s="51"/>
      <c r="I59" s="51"/>
      <c r="J59" s="51">
        <v>2</v>
      </c>
      <c r="K59" s="51">
        <v>6</v>
      </c>
      <c r="L59" s="51"/>
      <c r="M59" s="51"/>
      <c r="N59" s="51"/>
      <c r="O59" s="51"/>
      <c r="P59" s="51"/>
      <c r="Q59" s="51"/>
      <c r="R59" s="51"/>
      <c r="S59" s="51"/>
      <c r="T59" s="51">
        <v>1</v>
      </c>
    </row>
    <row r="60" spans="1:20" ht="27" thickBot="1">
      <c r="A60" s="328"/>
      <c r="B60" s="141">
        <v>2</v>
      </c>
      <c r="C60" s="187"/>
      <c r="D60" s="138" t="str">
        <f>Team4</f>
        <v>Army of Six</v>
      </c>
      <c r="E60" s="133">
        <f>(IF(F60="y",$F$4,0))+(IF(G60="y",$G$4,0))+(IF(H60="y",$H$4,0))+(IF(I60="y",$I$4,0))+(IF((0&lt;J60)*(J60&lt;=16),J60*5,0))+(IF((0&lt;K60)*(K60&lt;=16),K60*2,0))+(IF(L60="y",$L$4,0))+(IF(M60="y",$M$4,0))+(IF((N60&gt;0)*(N60&lt;=3),N60*15,0))+(IF(O60="y",$O$4,0))+(IF(P60="y",$P$4,0))+(IF(Q60="y",$Q$4,0))+(IF(R60="y",$R$4,0))+(IF(S60="y",$S$4,0))+(IF((T60&gt;0)*(T60&lt;=3),T60*10,0))</f>
        <v>140</v>
      </c>
      <c r="F60" s="51" t="s">
        <v>142</v>
      </c>
      <c r="G60" s="51" t="s">
        <v>142</v>
      </c>
      <c r="H60" s="51"/>
      <c r="I60" s="51" t="s">
        <v>142</v>
      </c>
      <c r="J60" s="51">
        <v>2</v>
      </c>
      <c r="K60" s="51"/>
      <c r="L60" s="51"/>
      <c r="M60" s="51"/>
      <c r="N60" s="51"/>
      <c r="O60" s="51"/>
      <c r="P60" s="51"/>
      <c r="Q60" s="51"/>
      <c r="R60" s="51"/>
      <c r="S60" s="51"/>
      <c r="T60" s="51"/>
    </row>
    <row r="61" spans="1:20" ht="23.25" thickBot="1">
      <c r="A61" s="328"/>
      <c r="B61" s="140" t="s">
        <v>49</v>
      </c>
      <c r="C61" s="40" t="s">
        <v>50</v>
      </c>
      <c r="D61" s="40" t="s">
        <v>51</v>
      </c>
      <c r="E61" s="134"/>
      <c r="F61" s="42"/>
      <c r="G61" s="304">
        <f>IF(OR((AND(G62="y",H62="y")),(AND(G63="y",H63="y"))),"Too Many CDs","")</f>
      </c>
      <c r="H61" s="304"/>
      <c r="I61" s="304">
        <f>IF(AND(I62="Y",I63="Y"),"Too Many Balls In Center",IF((IF(I62="Y",1,IF(I63="Y",1,0))+J63+K63+J62+K62)&gt;16,"Too Many Balls",""))</f>
      </c>
      <c r="J61" s="305"/>
      <c r="K61" s="305"/>
      <c r="L61" s="304">
        <f>IF(OR((AND(L62="y",M62="y")),(AND(L63="y",M63="y"))),"Not Both Stairs","")</f>
      </c>
      <c r="M61" s="304"/>
      <c r="N61" s="43"/>
      <c r="O61" s="304"/>
      <c r="P61" s="304"/>
      <c r="Q61" s="43"/>
      <c r="R61" s="304">
        <f>IF(OR((AND(R62="y",S62="y")),(AND(R63="y",S63="y"))),"Too Much Food","")</f>
      </c>
      <c r="S61" s="304"/>
      <c r="T61" s="44"/>
    </row>
    <row r="62" spans="1:20" ht="26.25" thickBot="1">
      <c r="A62" s="328"/>
      <c r="B62" s="142">
        <v>3</v>
      </c>
      <c r="C62" s="187">
        <v>0.13125</v>
      </c>
      <c r="D62" s="138" t="str">
        <f>Team2</f>
        <v>Electric Pussycat</v>
      </c>
      <c r="E62" s="133">
        <f>(IF(F62="y",$F$4,0))+(IF(G62="y",$G$4,0))+(IF(H62="y",$H$4,0))+(IF(I62="y",$I$4,0))+(IF((0&lt;J62)*(J62&lt;=16),J62*5,0))+(IF((0&lt;K62)*(K62&lt;=16),K62*2,0))+(IF(L62="y",$L$4,0))+(IF(M62="y",$M$4,0))+(IF((N62&gt;0)*(N62&lt;=3),N62*15,0))+(IF(O62="y",$O$4,0))+(IF(P62="y",$P$4,0))+(IF(Q62="y",$Q$4,0))+(IF(R62="y",$R$4,0))+(IF(S62="y",$S$4,0))+(IF((T62&gt;0)*(T62&lt;=3),T62*10,0))</f>
        <v>123</v>
      </c>
      <c r="F62" s="51"/>
      <c r="G62" s="51" t="s">
        <v>142</v>
      </c>
      <c r="H62" s="51"/>
      <c r="I62" s="51" t="s">
        <v>142</v>
      </c>
      <c r="J62" s="51">
        <v>1</v>
      </c>
      <c r="K62" s="51">
        <v>4</v>
      </c>
      <c r="L62" s="51"/>
      <c r="M62" s="51"/>
      <c r="N62" s="51"/>
      <c r="O62" s="51"/>
      <c r="P62" s="51"/>
      <c r="Q62" s="51"/>
      <c r="R62" s="51"/>
      <c r="S62" s="51"/>
      <c r="T62" s="51">
        <v>2</v>
      </c>
    </row>
    <row r="63" spans="1:20" ht="27" thickBot="1">
      <c r="A63" s="328"/>
      <c r="B63" s="141">
        <v>4</v>
      </c>
      <c r="C63" s="187"/>
      <c r="D63" s="138" t="str">
        <f>Team5</f>
        <v>TheraBots</v>
      </c>
      <c r="E63" s="133">
        <f>(IF(F63="y",$F$4,0))+(IF(G63="y",$G$4,0))+(IF(H63="y",$H$4,0))+(IF(I63="y",$I$4,0))+(IF((0&lt;J63)*(J63&lt;=16),J63*5,0))+(IF((0&lt;K63)*(K63&lt;=16),K63*2,0))+(IF(L63="y",$L$4,0))+(IF(M63="y",$M$4,0))+(IF((N63&gt;0)*(N63&lt;=3),N63*15,0))+(IF(O63="y",$O$4,0))+(IF(P63="y",$P$4,0))+(IF(Q63="y",$Q$4,0))+(IF(R63="y",$R$4,0))+(IF(S63="y",$S$4,0))+(IF((T63&gt;0)*(T63&lt;=3),T63*10,0))</f>
        <v>108</v>
      </c>
      <c r="F63" s="51" t="s">
        <v>142</v>
      </c>
      <c r="G63" s="51" t="s">
        <v>142</v>
      </c>
      <c r="H63" s="51"/>
      <c r="I63" s="51"/>
      <c r="J63" s="51"/>
      <c r="K63" s="51">
        <v>4</v>
      </c>
      <c r="L63" s="51"/>
      <c r="M63" s="51"/>
      <c r="N63" s="51"/>
      <c r="O63" s="51"/>
      <c r="P63" s="51"/>
      <c r="Q63" s="51"/>
      <c r="R63" s="51"/>
      <c r="S63" s="51"/>
      <c r="T63" s="51">
        <v>2</v>
      </c>
    </row>
    <row r="64" spans="1:20" ht="23.25" thickBot="1">
      <c r="A64" s="328"/>
      <c r="B64" s="140" t="s">
        <v>49</v>
      </c>
      <c r="C64" s="40" t="s">
        <v>50</v>
      </c>
      <c r="D64" s="40" t="s">
        <v>51</v>
      </c>
      <c r="E64" s="134"/>
      <c r="F64" s="42"/>
      <c r="G64" s="304">
        <f>IF(OR((AND(G65="y",H65="y")),(AND(G66="y",H66="y"))),"Too Many CDs","")</f>
      </c>
      <c r="H64" s="304"/>
      <c r="I64" s="304">
        <f>IF(AND(I65="Y",I66="Y"),"Too Many Balls In Center",IF((IF(I65="Y",1,IF(I66="Y",1,0))+J66+K66+J65+K65)&gt;16,"Too Many Balls",""))</f>
      </c>
      <c r="J64" s="305"/>
      <c r="K64" s="305"/>
      <c r="L64" s="304">
        <f>IF(OR((AND(L65="y",M65="y")),(AND(L66="y",M66="y"))),"Not Both Stairs","")</f>
      </c>
      <c r="M64" s="304"/>
      <c r="N64" s="43"/>
      <c r="O64" s="304">
        <f>IF(OR((AND(O65="y",P65="y")),(AND(O66="y",P66="y"))),"Not Both Positions","")</f>
      </c>
      <c r="P64" s="304"/>
      <c r="Q64" s="43"/>
      <c r="R64" s="304">
        <f>IF(OR((AND(R65="y",S65="y")),(AND(R66="y",S66="y"))),"Too Much Food","")</f>
      </c>
      <c r="S64" s="304"/>
      <c r="T64" s="44"/>
    </row>
    <row r="65" spans="1:20" ht="26.25" thickBot="1">
      <c r="A65" s="328"/>
      <c r="B65" s="142">
        <v>1</v>
      </c>
      <c r="C65" s="187">
        <v>0.13402777777777777</v>
      </c>
      <c r="D65" s="138" t="str">
        <f>Team3</f>
        <v>Team Taffy</v>
      </c>
      <c r="E65" s="133">
        <f>(IF(F65="y",$F$4,0))+(IF(G65="y",$G$4,0))+(IF(H65="y",$H$4,0))+(IF(I65="y",$I$4,0))+(IF((0&lt;J65)*(J65&lt;=16),J65*5,0))+(IF((0&lt;K65)*(K65&lt;=16),K65*2,0))+(IF(L65="y",$L$4,0))+(IF(M65="y",$M$4,0))+(IF((N65&gt;0)*(N65&lt;=3),N65*15,0))+(IF(O65="y",$O$4,0))+(IF(P65="y",$P$4,0))+(IF(Q65="y",$Q$4,0))+(IF(R65="y",$R$4,0))+(IF(S65="y",$S$4,0))+(IF((T65&gt;0)*(T65&lt;=3),T65*10,0))</f>
        <v>142</v>
      </c>
      <c r="F65" s="51"/>
      <c r="G65" s="51" t="s">
        <v>142</v>
      </c>
      <c r="H65" s="51"/>
      <c r="I65" s="51"/>
      <c r="J65" s="51"/>
      <c r="K65" s="51">
        <v>6</v>
      </c>
      <c r="L65" s="51"/>
      <c r="M65" s="51"/>
      <c r="N65" s="51">
        <v>3</v>
      </c>
      <c r="O65" s="51" t="s">
        <v>142</v>
      </c>
      <c r="P65" s="51"/>
      <c r="Q65" s="51"/>
      <c r="R65" s="51"/>
      <c r="S65" s="51"/>
      <c r="T65" s="51">
        <v>1</v>
      </c>
    </row>
    <row r="66" spans="1:20" ht="27" thickBot="1">
      <c r="A66" s="328"/>
      <c r="B66" s="141">
        <v>2</v>
      </c>
      <c r="C66" s="187"/>
      <c r="D66" s="138" t="str">
        <f>Team6</f>
        <v>RoboFreaks</v>
      </c>
      <c r="E66" s="133">
        <f>(IF(F66="y",$F$4,0))+(IF(G66="y",$G$4,0))+(IF(H66="y",$H$4,0))+(IF(I66="y",$I$4,0))+(IF((0&lt;J66)*(J66&lt;=16),J66*5,0))+(IF((0&lt;K66)*(K66&lt;=16),K66*2,0))+(IF(L66="y",$L$4,0))+(IF(M66="y",$M$4,0))+(IF((N66&gt;0)*(N66&lt;=3),N66*15,0))+(IF(O66="y",$O$4,0))+(IF(P66="y",$P$4,0))+(IF(Q66="y",$Q$4,0))+(IF(R66="y",$R$4,0))+(IF(S66="y",$S$4,0))+(IF((T66&gt;0)*(T66&lt;=3),T66*10,0))</f>
        <v>159</v>
      </c>
      <c r="F66" s="51" t="s">
        <v>142</v>
      </c>
      <c r="G66" s="51" t="s">
        <v>142</v>
      </c>
      <c r="H66" s="51"/>
      <c r="I66" s="51" t="s">
        <v>142</v>
      </c>
      <c r="J66" s="51">
        <v>1</v>
      </c>
      <c r="K66" s="51">
        <v>7</v>
      </c>
      <c r="L66" s="51"/>
      <c r="M66" s="51"/>
      <c r="N66" s="51"/>
      <c r="O66" s="51"/>
      <c r="P66" s="51"/>
      <c r="Q66" s="51"/>
      <c r="R66" s="51"/>
      <c r="S66" s="51"/>
      <c r="T66" s="51">
        <v>1</v>
      </c>
    </row>
    <row r="67" spans="1:20" ht="23.25" thickBot="1">
      <c r="A67" s="328"/>
      <c r="B67" s="140" t="s">
        <v>49</v>
      </c>
      <c r="C67" s="40" t="s">
        <v>50</v>
      </c>
      <c r="D67" s="40" t="s">
        <v>51</v>
      </c>
      <c r="E67" s="134"/>
      <c r="F67" s="42"/>
      <c r="G67" s="304">
        <f>IF(OR((AND(G68="y",H68="y")),(AND(G69="y",H69="y"))),"Too Many CDs","")</f>
      </c>
      <c r="H67" s="304"/>
      <c r="I67" s="304">
        <f>IF(AND(I68="Y",I69="Y"),"Too Many Balls In Center",IF((IF(I68="Y",1,IF(I69="Y",1,0))+J69+K69+J68+K68)&gt;16,"Too Many Balls",""))</f>
      </c>
      <c r="J67" s="305"/>
      <c r="K67" s="305"/>
      <c r="L67" s="304">
        <f>IF(OR((AND(L68="y",M68="y")),(AND(L69="y",M69="y"))),"Not Both Stairs","")</f>
      </c>
      <c r="M67" s="304"/>
      <c r="N67" s="43"/>
      <c r="O67" s="304">
        <f>IF(OR((AND(O68="y",P68="y")),(AND(O69="y",P69="y"))),"Not Both Positions","")</f>
      </c>
      <c r="P67" s="304"/>
      <c r="Q67" s="43"/>
      <c r="R67" s="304">
        <f>IF(OR((AND(R68="y",S68="y")),(AND(R69="y",S69="y"))),"Too Much Food","")</f>
      </c>
      <c r="S67" s="304"/>
      <c r="T67" s="44"/>
    </row>
    <row r="68" spans="1:20" ht="26.25" thickBot="1">
      <c r="A68" s="328"/>
      <c r="B68" s="142">
        <v>3</v>
      </c>
      <c r="C68" s="187">
        <v>0.13680555555555554</v>
      </c>
      <c r="D68" s="138" t="str">
        <f>Team7</f>
        <v>CyberBots</v>
      </c>
      <c r="E68" s="133">
        <f>(IF(F68="y",$F$4,0))+(IF(G68="y",$G$4,0))+(IF(H68="y",$H$4,0))+(IF(I68="y",$I$4,0))+(IF((0&lt;J68)*(J68&lt;=16),J68*5,0))+(IF((0&lt;K68)*(K68&lt;=16),K68*2,0))+(IF(L68="y",$L$4,0))+(IF(M68="y",$M$4,0))+(IF((N68&gt;0)*(N68&lt;=3),N68*15,0))+(IF(O68="y",$O$4,0))+(IF(P68="y",$P$4,0))+(IF(Q68="y",$Q$4,0))+(IF(R68="y",$R$4,0))+(IF(S68="y",$S$4,0))+(IF((T68&gt;0)*(T68&lt;=3),T68*10,0))</f>
        <v>90</v>
      </c>
      <c r="F68" s="51"/>
      <c r="G68" s="51"/>
      <c r="H68" s="51" t="s">
        <v>142</v>
      </c>
      <c r="I68" s="51" t="s">
        <v>142</v>
      </c>
      <c r="J68" s="51">
        <v>1</v>
      </c>
      <c r="K68" s="51"/>
      <c r="L68" s="51"/>
      <c r="M68" s="51"/>
      <c r="N68" s="51"/>
      <c r="O68" s="51"/>
      <c r="P68" s="51"/>
      <c r="Q68" s="51"/>
      <c r="R68" s="51"/>
      <c r="S68" s="51"/>
      <c r="T68" s="51"/>
    </row>
    <row r="69" spans="1:20" ht="27" thickBot="1">
      <c r="A69" s="328"/>
      <c r="B69" s="141">
        <v>4</v>
      </c>
      <c r="C69" s="187"/>
      <c r="D69" s="138" t="str">
        <f>Team10</f>
        <v>Battery-powered Legomen</v>
      </c>
      <c r="E69" s="133">
        <f>(IF(F69="y",$F$4,0))+(IF(G69="y",$G$4,0))+(IF(H69="y",$H$4,0))+(IF(I69="y",$I$4,0))+(IF((0&lt;J69)*(J69&lt;=16),J69*5,0))+(IF((0&lt;K69)*(K69&lt;=16),K69*2,0))+(IF(L69="y",$L$4,0))+(IF(M69="y",$M$4,0))+(IF((N69&gt;0)*(N69&lt;=3),N69*15,0))+(IF(O69="y",$O$4,0))+(IF(P69="y",$P$4,0))+(IF(Q69="y",$Q$4,0))+(IF(R69="y",$R$4,0))+(IF(S69="y",$S$4,0))+(IF((T69&gt;0)*(T69&lt;=3),T69*10,0))</f>
        <v>42</v>
      </c>
      <c r="F69" s="51"/>
      <c r="G69" s="51"/>
      <c r="H69" s="51"/>
      <c r="I69" s="51"/>
      <c r="J69" s="51">
        <v>2</v>
      </c>
      <c r="K69" s="51">
        <v>6</v>
      </c>
      <c r="L69" s="51"/>
      <c r="M69" s="51"/>
      <c r="N69" s="51"/>
      <c r="O69" s="51"/>
      <c r="P69" s="51"/>
      <c r="Q69" s="51"/>
      <c r="R69" s="51"/>
      <c r="S69" s="51"/>
      <c r="T69" s="51">
        <v>2</v>
      </c>
    </row>
    <row r="70" spans="1:20" ht="23.25" thickBot="1">
      <c r="A70" s="328"/>
      <c r="B70" s="140" t="s">
        <v>49</v>
      </c>
      <c r="C70" s="40" t="s">
        <v>50</v>
      </c>
      <c r="D70" s="40" t="s">
        <v>51</v>
      </c>
      <c r="E70" s="134"/>
      <c r="F70" s="42"/>
      <c r="G70" s="304">
        <f>IF(OR((AND(G71="y",H71="y")),(AND(G72="y",H72="y"))),"Too Many CDs","")</f>
      </c>
      <c r="H70" s="304"/>
      <c r="I70" s="304">
        <f>IF(AND(I71="Y",I72="Y"),"Too Many Balls In Center",IF((IF(I71="Y",1,IF(I72="Y",1,0))+J72+K72+J71+K71)&gt;16,"Too Many Balls",""))</f>
      </c>
      <c r="J70" s="305"/>
      <c r="K70" s="305"/>
      <c r="L70" s="304">
        <f>IF(OR((AND(L71="y",M71="y")),(AND(L72="y",M72="y"))),"Not Both Stairs","")</f>
      </c>
      <c r="M70" s="304"/>
      <c r="N70" s="43"/>
      <c r="O70" s="304">
        <f>IF(OR((AND(O71="y",P71="y")),(AND(O72="y",P72="y"))),"Not Both Positions","")</f>
      </c>
      <c r="P70" s="304"/>
      <c r="Q70" s="43"/>
      <c r="R70" s="304">
        <f>IF(OR((AND(R71="y",S71="y")),(AND(R72="y",S72="y"))),"Too Much Food","")</f>
      </c>
      <c r="S70" s="304"/>
      <c r="T70" s="44"/>
    </row>
    <row r="71" spans="1:20" ht="26.25" thickBot="1">
      <c r="A71" s="328"/>
      <c r="B71" s="142">
        <v>1</v>
      </c>
      <c r="C71" s="187">
        <v>0.13958333333333334</v>
      </c>
      <c r="D71" s="138" t="str">
        <f>Team8</f>
        <v>Roboraiders</v>
      </c>
      <c r="E71" s="133">
        <f>(IF(F71="y",$F$4,0))+(IF(G71="y",$G$4,0))+(IF(H71="y",$H$4,0))+(IF(I71="y",$I$4,0))+(IF((0&lt;J71)*(J71&lt;=16),J71*5,0))+(IF((0&lt;K71)*(K71&lt;=16),K71*2,0))+(IF(L71="y",$L$4,0))+(IF(M71="y",$M$4,0))+(IF((N71&gt;0)*(N71&lt;=3),N71*15,0))+(IF(O71="y",$O$4,0))+(IF(P71="y",$P$4,0))+(IF(Q71="y",$Q$4,0))+(IF(R71="y",$R$4,0))+(IF(S71="y",$S$4,0))+(IF((T71&gt;0)*(T71&lt;=3),T71*10,0))</f>
        <v>161</v>
      </c>
      <c r="F71" s="51" t="s">
        <v>142</v>
      </c>
      <c r="G71" s="51" t="s">
        <v>142</v>
      </c>
      <c r="H71" s="51"/>
      <c r="I71" s="51"/>
      <c r="J71" s="51"/>
      <c r="K71" s="51">
        <v>8</v>
      </c>
      <c r="L71" s="51"/>
      <c r="M71" s="51"/>
      <c r="N71" s="51"/>
      <c r="O71" s="51"/>
      <c r="P71" s="51"/>
      <c r="Q71" s="51"/>
      <c r="R71" s="51" t="s">
        <v>142</v>
      </c>
      <c r="S71" s="51"/>
      <c r="T71" s="51">
        <v>2</v>
      </c>
    </row>
    <row r="72" spans="1:20" ht="27" thickBot="1">
      <c r="A72" s="328"/>
      <c r="B72" s="141">
        <v>2</v>
      </c>
      <c r="C72" s="187"/>
      <c r="D72" s="138" t="str">
        <f>Team11</f>
        <v>CyberDisks</v>
      </c>
      <c r="E72" s="133">
        <f>(IF(F72="y",$F$4,0))+(IF(G72="y",$G$4,0))+(IF(H72="y",$H$4,0))+(IF(I72="y",$I$4,0))+(IF((0&lt;J72)*(J72&lt;=16),J72*5,0))+(IF((0&lt;K72)*(K72&lt;=16),K72*2,0))+(IF(L72="y",$L$4,0))+(IF(M72="y",$M$4,0))+(IF((N72&gt;0)*(N72&lt;=3),N72*15,0))+(IF(O72="y",$O$4,0))+(IF(P72="y",$P$4,0))+(IF(Q72="y",$Q$4,0))+(IF(R72="y",$R$4,0))+(IF(S72="y",$S$4,0))+(IF((T72&gt;0)*(T72&lt;=3),T72*10,0))</f>
        <v>87</v>
      </c>
      <c r="F72" s="51" t="s">
        <v>142</v>
      </c>
      <c r="G72" s="51"/>
      <c r="H72" s="51" t="s">
        <v>142</v>
      </c>
      <c r="I72" s="51"/>
      <c r="J72" s="51"/>
      <c r="K72" s="51">
        <v>6</v>
      </c>
      <c r="L72" s="51"/>
      <c r="M72" s="51"/>
      <c r="N72" s="51"/>
      <c r="O72" s="51"/>
      <c r="P72" s="51"/>
      <c r="Q72" s="51"/>
      <c r="R72" s="51"/>
      <c r="S72" s="51"/>
      <c r="T72" s="51"/>
    </row>
    <row r="73" spans="1:20" ht="23.25" thickBot="1">
      <c r="A73" s="328"/>
      <c r="B73" s="140" t="s">
        <v>49</v>
      </c>
      <c r="C73" s="40" t="s">
        <v>50</v>
      </c>
      <c r="D73" s="40" t="s">
        <v>51</v>
      </c>
      <c r="E73" s="134"/>
      <c r="F73" s="42"/>
      <c r="G73" s="304">
        <f>IF(OR((AND(G74="y",H74="y")),(AND(G75="y",H75="y"))),"Too Many CDs","")</f>
      </c>
      <c r="H73" s="304"/>
      <c r="I73" s="304">
        <f>IF(AND(I74="Y",I75="Y"),"Too Many Balls In Center",IF((IF(I74="Y",1,IF(I75="Y",1,0))+J75+K75+J74+K74)&gt;16,"Too Many Balls",""))</f>
      </c>
      <c r="J73" s="305"/>
      <c r="K73" s="305"/>
      <c r="L73" s="304">
        <f>IF(OR((AND(L74="y",M74="y")),(AND(L75="y",M75="y"))),"Not Both Stairs","")</f>
      </c>
      <c r="M73" s="304"/>
      <c r="N73" s="43"/>
      <c r="O73" s="304">
        <f>IF(OR((AND(O74="y",P74="y")),(AND(O75="y",P75="y"))),"Not Both Positions","")</f>
      </c>
      <c r="P73" s="304"/>
      <c r="Q73" s="43"/>
      <c r="R73" s="304">
        <f>IF(OR((AND(R74="y",S74="y")),(AND(R75="y",S75="y"))),"Too Much Food","")</f>
      </c>
      <c r="S73" s="304"/>
      <c r="T73" s="44"/>
    </row>
    <row r="74" spans="1:20" ht="26.25" thickBot="1">
      <c r="A74" s="328"/>
      <c r="B74" s="142">
        <v>3</v>
      </c>
      <c r="C74" s="187">
        <v>0.1423611111111111</v>
      </c>
      <c r="D74" s="138" t="str">
        <f>Team9</f>
        <v>RoboPups</v>
      </c>
      <c r="E74" s="133">
        <f>(IF(F74="y",$F$4,0))+(IF(G74="y",$G$4,0))+(IF(H74="y",$H$4,0))+(IF(I74="y",$I$4,0))+(IF((0&lt;J74)*(J74&lt;=16),J74*5,0))+(IF((0&lt;K74)*(K74&lt;=16),K74*2,0))+(IF(L74="y",$L$4,0))+(IF(M74="y",$M$4,0))+(IF((N74&gt;0)*(N74&lt;=3),N74*15,0))+(IF(O74="y",$O$4,0))+(IF(P74="y",$P$4,0))+(IF(Q74="y",$Q$4,0))+(IF(R74="y",$R$4,0))+(IF(S74="y",$S$4,0))+(IF((T74&gt;0)*(T74&lt;=3),T74*10,0))</f>
        <v>86</v>
      </c>
      <c r="F74" s="51"/>
      <c r="G74" s="51" t="s">
        <v>142</v>
      </c>
      <c r="H74" s="51"/>
      <c r="I74" s="51"/>
      <c r="J74" s="51"/>
      <c r="K74" s="51">
        <v>8</v>
      </c>
      <c r="L74" s="51"/>
      <c r="M74" s="51"/>
      <c r="N74" s="51"/>
      <c r="O74" s="51"/>
      <c r="P74" s="51"/>
      <c r="Q74" s="51"/>
      <c r="R74" s="51"/>
      <c r="S74" s="51"/>
      <c r="T74" s="51">
        <v>3</v>
      </c>
    </row>
    <row r="75" spans="1:20" ht="27" thickBot="1">
      <c r="A75" s="328"/>
      <c r="B75" s="141">
        <v>4</v>
      </c>
      <c r="C75" s="187"/>
      <c r="D75" s="138" t="str">
        <f>Team12</f>
        <v>Lego Legends</v>
      </c>
      <c r="E75" s="133">
        <f>(IF(F75="y",$F$4,0))+(IF(G75="y",$G$4,0))+(IF(H75="y",$H$4,0))+(IF(I75="y",$I$4,0))+(IF((0&lt;J75)*(J75&lt;=16),J75*5,0))+(IF((0&lt;K75)*(K75&lt;=16),K75*2,0))+(IF(L75="y",$L$4,0))+(IF(M75="y",$M$4,0))+(IF((N75&gt;0)*(N75&lt;=3),N75*15,0))+(IF(O75="y",$O$4,0))+(IF(P75="y",$P$4,0))+(IF(Q75="y",$Q$4,0))+(IF(R75="y",$R$4,0))+(IF(S75="y",$S$4,0))+(IF((T75&gt;0)*(T75&lt;=3),T75*10,0))</f>
        <v>215</v>
      </c>
      <c r="F75" s="51" t="s">
        <v>142</v>
      </c>
      <c r="G75" s="51"/>
      <c r="H75" s="51" t="s">
        <v>142</v>
      </c>
      <c r="I75" s="51" t="s">
        <v>142</v>
      </c>
      <c r="J75" s="51"/>
      <c r="K75" s="51">
        <v>5</v>
      </c>
      <c r="L75" s="51"/>
      <c r="M75" s="51"/>
      <c r="N75" s="51"/>
      <c r="O75" s="51" t="s">
        <v>142</v>
      </c>
      <c r="P75" s="51"/>
      <c r="Q75" s="51" t="s">
        <v>142</v>
      </c>
      <c r="R75" s="51"/>
      <c r="S75" s="51"/>
      <c r="T75" s="51">
        <v>1</v>
      </c>
    </row>
    <row r="76" spans="1:20" ht="23.25" thickBot="1">
      <c r="A76" s="328"/>
      <c r="B76" s="140" t="s">
        <v>49</v>
      </c>
      <c r="C76" s="40" t="s">
        <v>50</v>
      </c>
      <c r="D76" s="40" t="s">
        <v>51</v>
      </c>
      <c r="E76" s="134"/>
      <c r="F76" s="42"/>
      <c r="G76" s="304">
        <f>IF(OR((AND(G77="y",H77="y")),(AND(G78="y",H78="y"))),"Too Many CDs","")</f>
      </c>
      <c r="H76" s="304"/>
      <c r="I76" s="304">
        <f>IF(AND(I77="Y",I78="Y"),"Too Many Balls In Center",IF((IF(I77="Y",1,IF(I78="Y",1,0))+J78+K78+J77+K77)&gt;16,"Too Many Balls",""))</f>
      </c>
      <c r="J76" s="305"/>
      <c r="K76" s="305"/>
      <c r="L76" s="304">
        <f>IF(OR((AND(L77="y",M77="y")),(AND(L78="y",M78="y"))),"Not Both Stairs","")</f>
      </c>
      <c r="M76" s="304"/>
      <c r="N76" s="43"/>
      <c r="O76" s="304">
        <f>IF(OR((AND(O77="y",P77="y")),(AND(O78="y",P78="y"))),"Not Both Positions","")</f>
      </c>
      <c r="P76" s="304"/>
      <c r="Q76" s="43"/>
      <c r="R76" s="304">
        <f>IF(OR((AND(R77="y",S77="y")),(AND(R78="y",S78="y"))),"Too Much Food","")</f>
      </c>
      <c r="S76" s="304"/>
      <c r="T76" s="44"/>
    </row>
    <row r="77" spans="1:20" ht="26.25" thickBot="1">
      <c r="A77" s="328"/>
      <c r="B77" s="142">
        <v>1</v>
      </c>
      <c r="C77" s="187">
        <v>0.1451388888888889</v>
      </c>
      <c r="D77" s="138" t="str">
        <f>Team13</f>
        <v>Rocking Robotics</v>
      </c>
      <c r="E77" s="133">
        <f>(IF(F77="y",$F$4,0))+(IF(G77="y",$G$4,0))+(IF(H77="y",$H$4,0))+(IF(I77="y",$I$4,0))+(IF((0&lt;J77)*(J77&lt;=16),J77*5,0))+(IF((0&lt;K77)*(K77&lt;=16),K77*2,0))+(IF(L77="y",$L$4,0))+(IF(M77="y",$M$4,0))+(IF((N77&gt;0)*(N77&lt;=3),N77*15,0))+(IF(O77="y",$O$4,0))+(IF(P77="y",$P$4,0))+(IF(Q77="y",$Q$4,0))+(IF(R77="y",$R$4,0))+(IF(S77="y",$S$4,0))+(IF((T77&gt;0)*(T77&lt;=3),T77*10,0))</f>
        <v>49</v>
      </c>
      <c r="F77" s="51"/>
      <c r="G77" s="51" t="s">
        <v>142</v>
      </c>
      <c r="H77" s="51"/>
      <c r="I77" s="51"/>
      <c r="J77" s="51">
        <v>1</v>
      </c>
      <c r="K77" s="51">
        <v>2</v>
      </c>
      <c r="L77" s="51"/>
      <c r="M77" s="51"/>
      <c r="N77" s="51"/>
      <c r="O77" s="51"/>
      <c r="P77" s="51"/>
      <c r="Q77" s="51"/>
      <c r="R77" s="51"/>
      <c r="S77" s="51"/>
      <c r="T77" s="51"/>
    </row>
    <row r="78" spans="1:20" ht="27" thickBot="1">
      <c r="A78" s="328"/>
      <c r="B78" s="141">
        <v>2</v>
      </c>
      <c r="C78" s="187"/>
      <c r="D78" s="138" t="str">
        <f>Team16</f>
        <v>Catbot 2000</v>
      </c>
      <c r="E78" s="133">
        <f>(IF(F78="y",$F$4,0))+(IF(G78="y",$G$4,0))+(IF(H78="y",$H$4,0))+(IF(I78="y",$I$4,0))+(IF((0&lt;J78)*(J78&lt;=16),J78*5,0))+(IF((0&lt;K78)*(K78&lt;=16),K78*2,0))+(IF(L78="y",$L$4,0))+(IF(M78="y",$M$4,0))+(IF((N78&gt;0)*(N78&lt;=3),N78*15,0))+(IF(O78="y",$O$4,0))+(IF(P78="y",$P$4,0))+(IF(Q78="y",$Q$4,0))+(IF(R78="y",$R$4,0))+(IF(S78="y",$S$4,0))+(IF((T78&gt;0)*(T78&lt;=3),T78*10,0))</f>
        <v>58</v>
      </c>
      <c r="F78" s="51"/>
      <c r="G78" s="51"/>
      <c r="H78" s="51" t="s">
        <v>142</v>
      </c>
      <c r="I78" s="51"/>
      <c r="J78" s="51">
        <v>1</v>
      </c>
      <c r="K78" s="51">
        <v>4</v>
      </c>
      <c r="L78" s="51"/>
      <c r="M78" s="51"/>
      <c r="N78" s="51"/>
      <c r="O78" s="51"/>
      <c r="P78" s="51"/>
      <c r="Q78" s="51"/>
      <c r="R78" s="51"/>
      <c r="S78" s="51"/>
      <c r="T78" s="51">
        <v>1</v>
      </c>
    </row>
    <row r="79" spans="1:20" ht="23.25" thickBot="1">
      <c r="A79" s="328"/>
      <c r="B79" s="140" t="s">
        <v>49</v>
      </c>
      <c r="C79" s="40" t="s">
        <v>50</v>
      </c>
      <c r="D79" s="40" t="s">
        <v>51</v>
      </c>
      <c r="E79" s="134"/>
      <c r="F79" s="42"/>
      <c r="G79" s="304">
        <f>IF(OR((AND(G80="y",H80="y")),(AND(G81="y",H81="y"))),"Too Many CDs","")</f>
      </c>
      <c r="H79" s="304"/>
      <c r="I79" s="304">
        <f>IF(AND(I80="Y",I81="Y"),"Too Many Balls In Center",IF((IF(I80="Y",1,IF(I81="Y",1,0))+J81+K81+J80+K80)&gt;16,"Too Many Balls",""))</f>
      </c>
      <c r="J79" s="305"/>
      <c r="K79" s="305"/>
      <c r="L79" s="304">
        <f>IF(OR((AND(L80="y",M80="y")),(AND(L81="y",M81="y"))),"Not Both Stairs","")</f>
      </c>
      <c r="M79" s="304"/>
      <c r="N79" s="43"/>
      <c r="O79" s="304">
        <f>IF(OR((AND(O80="y",P80="y")),(AND(O81="y",P81="y"))),"Not Both Positions","")</f>
      </c>
      <c r="P79" s="304"/>
      <c r="Q79" s="43"/>
      <c r="R79" s="304">
        <f>IF(OR((AND(R80="y",S80="y")),(AND(R81="y",S81="y"))),"Too Much Food","")</f>
      </c>
      <c r="S79" s="304"/>
      <c r="T79" s="44"/>
    </row>
    <row r="80" spans="1:20" ht="26.25" thickBot="1">
      <c r="A80" s="328"/>
      <c r="B80" s="142">
        <v>3</v>
      </c>
      <c r="C80" s="187">
        <v>0.14791666666666667</v>
      </c>
      <c r="D80" s="138" t="str">
        <f>Team14</f>
        <v>Happy Hippos</v>
      </c>
      <c r="E80" s="133">
        <f>(IF(F80="y",$F$4,0))+(IF(G80="y",$G$4,0))+(IF(H80="y",$H$4,0))+(IF(I80="y",$I$4,0))+(IF((0&lt;J80)*(J80&lt;=16),J80*5,0))+(IF((0&lt;K80)*(K80&lt;=16),K80*2,0))+(IF(L80="y",$L$4,0))+(IF(M80="y",$M$4,0))+(IF((N80&gt;0)*(N80&lt;=3),N80*15,0))+(IF(O80="y",$O$4,0))+(IF(P80="y",$P$4,0))+(IF(Q80="y",$Q$4,0))+(IF(R80="y",$R$4,0))+(IF(S80="y",$S$4,0))+(IF((T80&gt;0)*(T80&lt;=3),T80*10,0))</f>
        <v>183</v>
      </c>
      <c r="F80" s="51" t="s">
        <v>142</v>
      </c>
      <c r="G80" s="51"/>
      <c r="H80" s="51" t="s">
        <v>142</v>
      </c>
      <c r="I80" s="51" t="s">
        <v>142</v>
      </c>
      <c r="J80" s="51">
        <v>1</v>
      </c>
      <c r="K80" s="51">
        <v>4</v>
      </c>
      <c r="L80" s="51"/>
      <c r="M80" s="51"/>
      <c r="N80" s="51"/>
      <c r="O80" s="51" t="s">
        <v>142</v>
      </c>
      <c r="P80" s="51"/>
      <c r="Q80" s="51"/>
      <c r="R80" s="51"/>
      <c r="S80" s="51"/>
      <c r="T80" s="51">
        <v>1</v>
      </c>
    </row>
    <row r="81" spans="1:20" ht="27" thickBot="1">
      <c r="A81" s="328"/>
      <c r="B81" s="141">
        <v>4</v>
      </c>
      <c r="C81" s="187"/>
      <c r="D81" s="138" t="str">
        <f>Team17</f>
        <v>TigerBots</v>
      </c>
      <c r="E81" s="133">
        <f>(IF(F81="y",$F$4,0))+(IF(G81="y",$G$4,0))+(IF(H81="y",$H$4,0))+(IF(I81="y",$I$4,0))+(IF((0&lt;J81)*(J81&lt;=16),J81*5,0))+(IF((0&lt;K81)*(K81&lt;=16),K81*2,0))+(IF(L81="y",$L$4,0))+(IF(M81="y",$M$4,0))+(IF((N81&gt;0)*(N81&lt;=3),N81*15,0))+(IF(O81="y",$O$4,0))+(IF(P81="y",$P$4,0))+(IF(Q81="y",$Q$4,0))+(IF(R81="y",$R$4,0))+(IF(S81="y",$S$4,0))+(IF((T81&gt;0)*(T81&lt;=3),T81*10,0))</f>
        <v>94</v>
      </c>
      <c r="F81" s="51"/>
      <c r="G81" s="51" t="s">
        <v>142</v>
      </c>
      <c r="H81" s="51"/>
      <c r="I81" s="51"/>
      <c r="J81" s="51"/>
      <c r="K81" s="51">
        <v>7</v>
      </c>
      <c r="L81" s="51"/>
      <c r="M81" s="51"/>
      <c r="N81" s="51">
        <v>2</v>
      </c>
      <c r="O81" s="51"/>
      <c r="P81" s="51"/>
      <c r="Q81" s="51"/>
      <c r="R81" s="51"/>
      <c r="S81" s="51"/>
      <c r="T81" s="51">
        <v>1</v>
      </c>
    </row>
    <row r="82" spans="1:20" ht="23.25" thickBot="1">
      <c r="A82" s="328"/>
      <c r="B82" s="140" t="s">
        <v>49</v>
      </c>
      <c r="C82" s="40" t="s">
        <v>50</v>
      </c>
      <c r="D82" s="40" t="s">
        <v>51</v>
      </c>
      <c r="E82" s="134"/>
      <c r="F82" s="42"/>
      <c r="G82" s="304">
        <f>IF(OR((AND(G83="y",H83="y")),(AND(G84="y",H84="y"))),"Too Many CDs","")</f>
      </c>
      <c r="H82" s="304"/>
      <c r="I82" s="304">
        <f>IF(AND(I83="Y",I84="Y"),"Too Many Balls In Center",IF((IF(I83="Y",1,IF(I84="Y",1,0))+J84+K84+J83+K83)&gt;16,"Too Many Balls",""))</f>
      </c>
      <c r="J82" s="305"/>
      <c r="K82" s="305"/>
      <c r="L82" s="304">
        <f>IF(OR((AND(L83="y",M83="y")),(AND(L84="y",M84="y"))),"Not Both Stairs","")</f>
      </c>
      <c r="M82" s="304"/>
      <c r="N82" s="43"/>
      <c r="O82" s="304">
        <f>IF(OR((AND(O83="y",P83="y")),(AND(O84="y",P84="y"))),"Not Both Positions","")</f>
      </c>
      <c r="P82" s="304"/>
      <c r="Q82" s="43"/>
      <c r="R82" s="304">
        <f>IF(OR((AND(R83="y",S83="y")),(AND(R84="y",S84="y"))),"Too Much Food","")</f>
      </c>
      <c r="S82" s="304"/>
      <c r="T82" s="44"/>
    </row>
    <row r="83" spans="1:20" ht="26.25" thickBot="1">
      <c r="A83" s="328"/>
      <c r="B83" s="142">
        <v>1</v>
      </c>
      <c r="C83" s="187">
        <v>0.15069444444444444</v>
      </c>
      <c r="D83" s="138" t="str">
        <f>Team15</f>
        <v>DogBots</v>
      </c>
      <c r="E83" s="133">
        <f>(IF(F83="y",$F$4,0))+(IF(G83="y",$G$4,0))+(IF(H83="y",$H$4,0))+(IF(I83="y",$I$4,0))+(IF((0&lt;J83)*(J83&lt;=16),J83*5,0))+(IF((0&lt;K83)*(K83&lt;=16),K83*2,0))+(IF(L83="y",$L$4,0))+(IF(M83="y",$M$4,0))+(IF((N83&gt;0)*(N83&lt;=3),N83*15,0))+(IF(O83="y",$O$4,0))+(IF(P83="y",$P$4,0))+(IF(Q83="y",$Q$4,0))+(IF(R83="y",$R$4,0))+(IF(S83="y",$S$4,0))+(IF((T83&gt;0)*(T83&lt;=3),T83*10,0))</f>
        <v>273</v>
      </c>
      <c r="F83" s="51" t="s">
        <v>142</v>
      </c>
      <c r="G83" s="51" t="s">
        <v>142</v>
      </c>
      <c r="H83" s="51"/>
      <c r="I83" s="51"/>
      <c r="J83" s="51">
        <v>3</v>
      </c>
      <c r="K83" s="51">
        <v>4</v>
      </c>
      <c r="L83" s="51"/>
      <c r="M83" s="51"/>
      <c r="N83" s="51">
        <v>3</v>
      </c>
      <c r="O83" s="51" t="s">
        <v>142</v>
      </c>
      <c r="P83" s="51"/>
      <c r="Q83" s="51" t="s">
        <v>142</v>
      </c>
      <c r="R83" s="51" t="s">
        <v>142</v>
      </c>
      <c r="S83" s="51"/>
      <c r="T83" s="51">
        <v>1</v>
      </c>
    </row>
    <row r="84" spans="1:20" ht="27" thickBot="1">
      <c r="A84" s="329"/>
      <c r="B84" s="141">
        <v>2</v>
      </c>
      <c r="C84" s="187"/>
      <c r="D84" s="138" t="str">
        <f>Team1</f>
        <v>Mechanical Monkeys</v>
      </c>
      <c r="E84" s="133">
        <f>(IF(F84="y",$F$4,0))+(IF(G84="y",$G$4,0))+(IF(H84="y",$H$4,0))+(IF(I84="y",$I$4,0))+(IF((0&lt;J84)*(J84&lt;=16),J84*5,0))+(IF((0&lt;K84)*(K84&lt;=16),K84*2,0))+(IF(L84="y",$L$4,0))+(IF(M84="y",$M$4,0))+(IF((N84&gt;0)*(N84&lt;=3),N84*15,0))+(IF(O84="y",$O$4,0))+(IF(P84="y",$P$4,0))+(IF(Q84="y",$Q$4,0))+(IF(R84="y",$R$4,0))+(IF(S84="y",$S$4,0))+(IF((T84&gt;0)*(T84&lt;=3),T84*10,0))</f>
        <v>18</v>
      </c>
      <c r="F84" s="51"/>
      <c r="G84" s="51"/>
      <c r="H84" s="51"/>
      <c r="I84" s="51"/>
      <c r="J84" s="51"/>
      <c r="K84" s="51">
        <v>4</v>
      </c>
      <c r="L84" s="51"/>
      <c r="M84" s="51"/>
      <c r="N84" s="51"/>
      <c r="O84" s="51"/>
      <c r="P84" s="51"/>
      <c r="Q84" s="51"/>
      <c r="R84" s="51"/>
      <c r="S84" s="51"/>
      <c r="T84" s="51">
        <v>1</v>
      </c>
    </row>
    <row r="85" ht="13.5" thickBot="1"/>
    <row r="86" spans="1:20" ht="23.25" thickBot="1">
      <c r="A86" s="300" t="s">
        <v>167</v>
      </c>
      <c r="B86" s="140" t="s">
        <v>49</v>
      </c>
      <c r="C86" s="40" t="s">
        <v>50</v>
      </c>
      <c r="D86" s="40" t="s">
        <v>51</v>
      </c>
      <c r="E86" s="41"/>
      <c r="F86" s="42"/>
      <c r="G86" s="304">
        <f>IF(OR((AND(G87="y",H87="y")),(AND(G88="y",H88="y"))),"Too Many CDs","")</f>
      </c>
      <c r="H86" s="304"/>
      <c r="I86" s="304">
        <f>IF(AND(I87="Y",I88="Y"),"Too Many Balls In Center",IF((IF(I87="Y",1,IF(I88="Y",1,0))+J88+K88+J87+K87)&gt;16,"Too Many Balls",""))</f>
      </c>
      <c r="J86" s="305"/>
      <c r="K86" s="305"/>
      <c r="L86" s="304">
        <f>IF(OR((AND(L87="y",M87="y")),(AND(L88="y",M88="y"))),"Not Both Stairs","")</f>
      </c>
      <c r="M86" s="304"/>
      <c r="N86" s="43"/>
      <c r="O86" s="304">
        <f>IF(OR((AND(O87="y",P87="y")),(AND(O88="y",P88="y"))),"Not Both Positions","")</f>
      </c>
      <c r="P86" s="304"/>
      <c r="Q86" s="43"/>
      <c r="R86" s="304">
        <f>IF(OR((AND(R87="y",S87="y")),(AND(R88="y",S88="y"))),"Too Much Food","")</f>
      </c>
      <c r="S86" s="304"/>
      <c r="T86" s="44"/>
    </row>
    <row r="87" spans="1:20" ht="26.25" thickBot="1">
      <c r="A87" s="328"/>
      <c r="B87" s="142">
        <v>3</v>
      </c>
      <c r="C87" s="187">
        <v>0.15347222222222223</v>
      </c>
      <c r="D87" s="138" t="str">
        <f>Team4</f>
        <v>Army of Six</v>
      </c>
      <c r="E87" s="133">
        <f>(IF(F87="y",$F$4,0))+(IF(G87="y",$G$4,0))+(IF(H87="y",$H$4,0))+(IF(I87="y",$I$4,0))+(IF((0&lt;J87)*(J87&lt;=16),J87*5,0))+(IF((0&lt;K87)*(K87&lt;=16),K87*2,0))+(IF(L87="y",$L$4,0))+(IF(M87="y",$M$4,0))+(IF((N87&gt;0)*(N87&lt;=3),N87*15,0))+(IF(O87="y",$O$4,0))+(IF(P87="y",$P$4,0))+(IF(Q87="y",$Q$4,0))+(IF(R87="y",$R$4,0))+(IF(S87="y",$S$4,0))+(IF((T87&gt;0)*(T87&lt;=3),T87*10,0))</f>
        <v>171</v>
      </c>
      <c r="F87" s="51" t="s">
        <v>142</v>
      </c>
      <c r="G87" s="51" t="s">
        <v>142</v>
      </c>
      <c r="H87" s="51"/>
      <c r="I87" s="51" t="s">
        <v>142</v>
      </c>
      <c r="J87" s="51">
        <v>5</v>
      </c>
      <c r="K87" s="51">
        <v>3</v>
      </c>
      <c r="L87" s="51"/>
      <c r="M87" s="51"/>
      <c r="N87" s="51"/>
      <c r="O87" s="51"/>
      <c r="P87" s="51"/>
      <c r="Q87" s="51"/>
      <c r="R87" s="51"/>
      <c r="S87" s="51"/>
      <c r="T87" s="51">
        <v>1</v>
      </c>
    </row>
    <row r="88" spans="1:20" ht="27" thickBot="1">
      <c r="A88" s="328"/>
      <c r="B88" s="141">
        <v>4</v>
      </c>
      <c r="C88" s="187"/>
      <c r="D88" s="138" t="str">
        <f>Team7</f>
        <v>CyberBots</v>
      </c>
      <c r="E88" s="133">
        <f>(IF(F88="y",$F$4,0))+(IF(G88="y",$G$4,0))+(IF(H88="y",$H$4,0))+(IF(I88="y",$I$4,0))+(IF((0&lt;J88)*(J88&lt;=16),J88*5,0))+(IF((0&lt;K88)*(K88&lt;=16),K88*2,0))+(IF(L88="y",$L$4,0))+(IF(M88="y",$M$4,0))+(IF((N88&gt;0)*(N88&lt;=3),N88*15,0))+(IF(O88="y",$O$4,0))+(IF(P88="y",$P$4,0))+(IF(Q88="y",$Q$4,0))+(IF(R88="y",$R$4,0))+(IF(S88="y",$S$4,0))+(IF((T88&gt;0)*(T88&lt;=3),T88*10,0))</f>
        <v>10</v>
      </c>
      <c r="F88" s="51"/>
      <c r="G88" s="51"/>
      <c r="H88" s="51"/>
      <c r="I88" s="51"/>
      <c r="J88" s="51"/>
      <c r="K88" s="51">
        <v>5</v>
      </c>
      <c r="L88" s="51"/>
      <c r="M88" s="51"/>
      <c r="N88" s="51"/>
      <c r="O88" s="51"/>
      <c r="P88" s="51"/>
      <c r="Q88" s="51"/>
      <c r="R88" s="51"/>
      <c r="S88" s="51"/>
      <c r="T88" s="51"/>
    </row>
    <row r="89" spans="1:20" ht="23.25" thickBot="1">
      <c r="A89" s="328"/>
      <c r="B89" s="140" t="s">
        <v>49</v>
      </c>
      <c r="C89" s="40" t="s">
        <v>50</v>
      </c>
      <c r="D89" s="40" t="s">
        <v>51</v>
      </c>
      <c r="E89" s="134"/>
      <c r="F89" s="42"/>
      <c r="G89" s="304">
        <f>IF(OR((AND(G90="y",H90="y")),(AND(G91="y",H91="y"))),"Too Many CDs","")</f>
      </c>
      <c r="H89" s="304"/>
      <c r="I89" s="304">
        <f>IF(AND(I90="Y",I91="Y"),"Too Many Balls In Center",IF((IF(I90="Y",1,IF(I91="Y",1,0))+J91+K91+J90+K90)&gt;16,"Too Many Balls",""))</f>
      </c>
      <c r="J89" s="305"/>
      <c r="K89" s="305"/>
      <c r="L89" s="304">
        <f>IF(OR((AND(L90="y",M90="y")),(AND(L91="y",M91="y"))),"Not Both Stairs","")</f>
      </c>
      <c r="M89" s="304"/>
      <c r="N89" s="43"/>
      <c r="O89" s="304"/>
      <c r="P89" s="304"/>
      <c r="Q89" s="43"/>
      <c r="R89" s="304">
        <f>IF(OR((AND(R90="y",S90="y")),(AND(R91="y",S91="y"))),"Too Much Food","")</f>
      </c>
      <c r="S89" s="304"/>
      <c r="T89" s="44"/>
    </row>
    <row r="90" spans="1:20" ht="26.25" thickBot="1">
      <c r="A90" s="328"/>
      <c r="B90" s="142">
        <v>1</v>
      </c>
      <c r="C90" s="187">
        <v>0.15625</v>
      </c>
      <c r="D90" s="138" t="str">
        <f>Team5</f>
        <v>TheraBots</v>
      </c>
      <c r="E90" s="133">
        <f>(IF(F90="y",$F$4,0))+(IF(G90="y",$G$4,0))+(IF(H90="y",$H$4,0))+(IF(I90="y",$I$4,0))+(IF((0&lt;J90)*(J90&lt;=16),J90*5,0))+(IF((0&lt;K90)*(K90&lt;=16),K90*2,0))+(IF(L90="y",$L$4,0))+(IF(M90="y",$M$4,0))+(IF((N90&gt;0)*(N90&lt;=3),N90*15,0))+(IF(O90="y",$O$4,0))+(IF(P90="y",$P$4,0))+(IF(Q90="y",$Q$4,0))+(IF(R90="y",$R$4,0))+(IF(S90="y",$S$4,0))+(IF((T90&gt;0)*(T90&lt;=3),T90*10,0))</f>
        <v>135</v>
      </c>
      <c r="F90" s="51"/>
      <c r="G90" s="51"/>
      <c r="H90" s="51"/>
      <c r="I90" s="51" t="s">
        <v>142</v>
      </c>
      <c r="J90" s="51"/>
      <c r="K90" s="51">
        <v>5</v>
      </c>
      <c r="L90" s="51" t="s">
        <v>142</v>
      </c>
      <c r="M90" s="51"/>
      <c r="N90" s="51"/>
      <c r="O90" s="51"/>
      <c r="P90" s="51"/>
      <c r="Q90" s="51"/>
      <c r="R90" s="51"/>
      <c r="S90" s="51"/>
      <c r="T90" s="51">
        <v>3</v>
      </c>
    </row>
    <row r="91" spans="1:20" ht="27" thickBot="1">
      <c r="A91" s="328"/>
      <c r="B91" s="141">
        <v>2</v>
      </c>
      <c r="C91" s="187"/>
      <c r="D91" s="138" t="str">
        <f>Team8</f>
        <v>Roboraiders</v>
      </c>
      <c r="E91" s="133">
        <f>(IF(F91="y",$F$4,0))+(IF(G91="y",$G$4,0))+(IF(H91="y",$H$4,0))+(IF(I91="y",$I$4,0))+(IF((0&lt;J91)*(J91&lt;=16),J91*5,0))+(IF((0&lt;K91)*(K91&lt;=16),K91*2,0))+(IF(L91="y",$L$4,0))+(IF(M91="y",$M$4,0))+(IF((N91&gt;0)*(N91&lt;=3),N91*15,0))+(IF(O91="y",$O$4,0))+(IF(P91="y",$P$4,0))+(IF(Q91="y",$Q$4,0))+(IF(R91="y",$R$4,0))+(IF(S91="y",$S$4,0))+(IF((T91&gt;0)*(T91&lt;=3),T91*10,0))</f>
        <v>151</v>
      </c>
      <c r="F91" s="51" t="s">
        <v>142</v>
      </c>
      <c r="G91" s="51" t="s">
        <v>142</v>
      </c>
      <c r="H91" s="51"/>
      <c r="I91" s="51"/>
      <c r="J91" s="51"/>
      <c r="K91" s="51">
        <v>8</v>
      </c>
      <c r="L91" s="51"/>
      <c r="M91" s="51"/>
      <c r="N91" s="51"/>
      <c r="O91" s="51"/>
      <c r="P91" s="51"/>
      <c r="Q91" s="51"/>
      <c r="R91" s="51"/>
      <c r="S91" s="51" t="s">
        <v>142</v>
      </c>
      <c r="T91" s="51">
        <v>2</v>
      </c>
    </row>
    <row r="92" spans="1:20" ht="23.25" thickBot="1">
      <c r="A92" s="328"/>
      <c r="B92" s="140" t="s">
        <v>49</v>
      </c>
      <c r="C92" s="40" t="s">
        <v>50</v>
      </c>
      <c r="D92" s="40" t="s">
        <v>51</v>
      </c>
      <c r="E92" s="134"/>
      <c r="F92" s="42"/>
      <c r="G92" s="304">
        <f>IF(OR((AND(G93="y",H93="y")),(AND(G94="y",H94="y"))),"Too Many CDs","")</f>
      </c>
      <c r="H92" s="304"/>
      <c r="I92" s="304">
        <f>IF(AND(I93="Y",I94="Y"),"Too Many Balls In Center",IF((IF(I93="Y",1,IF(I94="Y",1,0))+J94+K94+J93+K93)&gt;16,"Too Many Balls",""))</f>
      </c>
      <c r="J92" s="305"/>
      <c r="K92" s="305"/>
      <c r="L92" s="304">
        <f>IF(OR((AND(L93="y",M93="y")),(AND(L94="y",M94="y"))),"Not Both Stairs","")</f>
      </c>
      <c r="M92" s="304"/>
      <c r="N92" s="43"/>
      <c r="O92" s="304">
        <f>IF(OR((AND(O93="y",P93="y")),(AND(O94="y",P94="y"))),"Not Both Positions","")</f>
      </c>
      <c r="P92" s="304"/>
      <c r="Q92" s="43"/>
      <c r="R92" s="304">
        <f>IF(OR((AND(R93="y",S93="y")),(AND(R94="y",S94="y"))),"Too Much Food","")</f>
      </c>
      <c r="S92" s="304"/>
      <c r="T92" s="44"/>
    </row>
    <row r="93" spans="1:20" ht="26.25" thickBot="1">
      <c r="A93" s="328"/>
      <c r="B93" s="142">
        <v>3</v>
      </c>
      <c r="C93" s="187">
        <v>0.15902777777777777</v>
      </c>
      <c r="D93" s="138" t="str">
        <f>Team6</f>
        <v>RoboFreaks</v>
      </c>
      <c r="E93" s="133">
        <f>(IF(F93="y",$F$4,0))+(IF(G93="y",$G$4,0))+(IF(H93="y",$H$4,0))+(IF(I93="y",$I$4,0))+(IF((0&lt;J93)*(J93&lt;=16),J93*5,0))+(IF((0&lt;K93)*(K93&lt;=16),K93*2,0))+(IF(L93="y",$L$4,0))+(IF(M93="y",$M$4,0))+(IF((N93&gt;0)*(N93&lt;=3),N93*15,0))+(IF(O93="y",$O$4,0))+(IF(P93="y",$P$4,0))+(IF(Q93="y",$Q$4,0))+(IF(R93="y",$R$4,0))+(IF(S93="y",$S$4,0))+(IF((T93&gt;0)*(T93&lt;=3),T93*10,0))</f>
        <v>112</v>
      </c>
      <c r="F93" s="51"/>
      <c r="G93" s="51" t="s">
        <v>142</v>
      </c>
      <c r="H93" s="51"/>
      <c r="I93" s="51" t="s">
        <v>142</v>
      </c>
      <c r="J93" s="51"/>
      <c r="K93" s="51">
        <v>6</v>
      </c>
      <c r="L93" s="51"/>
      <c r="M93" s="51"/>
      <c r="N93" s="51"/>
      <c r="O93" s="51"/>
      <c r="P93" s="51"/>
      <c r="Q93" s="51"/>
      <c r="R93" s="51"/>
      <c r="S93" s="51"/>
      <c r="T93" s="51">
        <v>1</v>
      </c>
    </row>
    <row r="94" spans="1:20" ht="27" thickBot="1">
      <c r="A94" s="328"/>
      <c r="B94" s="141">
        <v>4</v>
      </c>
      <c r="C94" s="187"/>
      <c r="D94" s="138" t="str">
        <f>Team9</f>
        <v>RoboPups</v>
      </c>
      <c r="E94" s="133">
        <f>(IF(F94="y",$F$4,0))+(IF(G94="y",$G$4,0))+(IF(H94="y",$H$4,0))+(IF(I94="y",$I$4,0))+(IF((0&lt;J94)*(J94&lt;=16),J94*5,0))+(IF((0&lt;K94)*(K94&lt;=16),K94*2,0))+(IF(L94="y",$L$4,0))+(IF(M94="y",$M$4,0))+(IF((N94&gt;0)*(N94&lt;=3),N94*15,0))+(IF(O94="y",$O$4,0))+(IF(P94="y",$P$4,0))+(IF(Q94="y",$Q$4,0))+(IF(R94="y",$R$4,0))+(IF(S94="y",$S$4,0))+(IF((T94&gt;0)*(T94&lt;=3),T94*10,0))</f>
        <v>126</v>
      </c>
      <c r="F94" s="51" t="s">
        <v>142</v>
      </c>
      <c r="G94" s="51" t="s">
        <v>142</v>
      </c>
      <c r="H94" s="51"/>
      <c r="I94" s="51"/>
      <c r="J94" s="51"/>
      <c r="K94" s="51">
        <v>8</v>
      </c>
      <c r="L94" s="51"/>
      <c r="M94" s="51"/>
      <c r="N94" s="51"/>
      <c r="O94" s="51"/>
      <c r="P94" s="51"/>
      <c r="Q94" s="51"/>
      <c r="R94" s="51"/>
      <c r="S94" s="51"/>
      <c r="T94" s="51">
        <v>3</v>
      </c>
    </row>
    <row r="95" spans="1:20" ht="23.25" thickBot="1">
      <c r="A95" s="328"/>
      <c r="B95" s="140" t="s">
        <v>49</v>
      </c>
      <c r="C95" s="40" t="s">
        <v>50</v>
      </c>
      <c r="D95" s="40" t="s">
        <v>51</v>
      </c>
      <c r="E95" s="134"/>
      <c r="F95" s="42"/>
      <c r="G95" s="304">
        <f>IF(OR((AND(G96="y",H96="y")),(AND(G97="y",H97="y"))),"Too Many CDs","")</f>
      </c>
      <c r="H95" s="304"/>
      <c r="I95" s="304">
        <f>IF(AND(I96="Y",I97="Y"),"Too Many Balls In Center",IF((IF(I96="Y",1,IF(I97="Y",1,0))+J97+K97+J96+K96)&gt;16,"Too Many Balls",""))</f>
      </c>
      <c r="J95" s="305"/>
      <c r="K95" s="305"/>
      <c r="L95" s="304">
        <f>IF(OR((AND(L96="y",M96="y")),(AND(L97="y",M97="y"))),"Not Both Stairs","")</f>
      </c>
      <c r="M95" s="304"/>
      <c r="N95" s="43"/>
      <c r="O95" s="304">
        <f>IF(OR((AND(O96="y",P96="y")),(AND(O97="y",P97="y"))),"Not Both Positions","")</f>
      </c>
      <c r="P95" s="304"/>
      <c r="Q95" s="43"/>
      <c r="R95" s="304">
        <f>IF(OR((AND(R96="y",S96="y")),(AND(R97="y",S97="y"))),"Too Much Food","")</f>
      </c>
      <c r="S95" s="304"/>
      <c r="T95" s="44"/>
    </row>
    <row r="96" spans="1:20" ht="26.25" thickBot="1">
      <c r="A96" s="328"/>
      <c r="B96" s="142">
        <v>1</v>
      </c>
      <c r="C96" s="187">
        <v>0.16180555555555556</v>
      </c>
      <c r="D96" s="138" t="str">
        <f>Team10</f>
        <v>Battery-powered Legomen</v>
      </c>
      <c r="E96" s="133">
        <f>(IF(F96="y",$F$4,0))+(IF(G96="y",$G$4,0))+(IF(H96="y",$H$4,0))+(IF(I96="y",$I$4,0))+(IF((0&lt;J96)*(J96&lt;=16),J96*5,0))+(IF((0&lt;K96)*(K96&lt;=16),K96*2,0))+(IF(L96="y",$L$4,0))+(IF(M96="y",$M$4,0))+(IF((N96&gt;0)*(N96&lt;=3),N96*15,0))+(IF(O96="y",$O$4,0))+(IF(P96="y",$P$4,0))+(IF(Q96="y",$Q$4,0))+(IF(R96="y",$R$4,0))+(IF(S96="y",$S$4,0))+(IF((T96&gt;0)*(T96&lt;=3),T96*10,0))</f>
        <v>127</v>
      </c>
      <c r="F96" s="51"/>
      <c r="G96" s="51"/>
      <c r="H96" s="51"/>
      <c r="I96" s="51" t="s">
        <v>142</v>
      </c>
      <c r="J96" s="51">
        <v>4</v>
      </c>
      <c r="K96" s="51">
        <v>1</v>
      </c>
      <c r="L96" s="51"/>
      <c r="M96" s="51"/>
      <c r="N96" s="51"/>
      <c r="O96" s="51" t="s">
        <v>142</v>
      </c>
      <c r="P96" s="51"/>
      <c r="Q96" s="51"/>
      <c r="R96" s="51"/>
      <c r="S96" s="51"/>
      <c r="T96" s="51">
        <v>2</v>
      </c>
    </row>
    <row r="97" spans="1:20" ht="27" thickBot="1">
      <c r="A97" s="328"/>
      <c r="B97" s="141">
        <v>2</v>
      </c>
      <c r="C97" s="187"/>
      <c r="D97" s="138" t="str">
        <f>Team13</f>
        <v>Rocking Robotics</v>
      </c>
      <c r="E97" s="133">
        <f>(IF(F97="y",$F$4,0))+(IF(G97="y",$G$4,0))+(IF(H97="y",$H$4,0))+(IF(I97="y",$I$4,0))+(IF((0&lt;J97)*(J97&lt;=16),J97*5,0))+(IF((0&lt;K97)*(K97&lt;=16),K97*2,0))+(IF(L97="y",$L$4,0))+(IF(M97="y",$M$4,0))+(IF((N97&gt;0)*(N97&lt;=3),N97*15,0))+(IF(O97="y",$O$4,0))+(IF(P97="y",$P$4,0))+(IF(Q97="y",$Q$4,0))+(IF(R97="y",$R$4,0))+(IF(S97="y",$S$4,0))+(IF((T97&gt;0)*(T97&lt;=3),T97*10,0))</f>
        <v>102</v>
      </c>
      <c r="F97" s="51" t="s">
        <v>142</v>
      </c>
      <c r="G97" s="51" t="s">
        <v>142</v>
      </c>
      <c r="H97" s="51"/>
      <c r="I97" s="51"/>
      <c r="J97" s="51">
        <v>2</v>
      </c>
      <c r="K97" s="51">
        <v>1</v>
      </c>
      <c r="L97" s="51"/>
      <c r="M97" s="51"/>
      <c r="N97" s="51"/>
      <c r="O97" s="51"/>
      <c r="P97" s="51"/>
      <c r="Q97" s="51"/>
      <c r="R97" s="51"/>
      <c r="S97" s="51"/>
      <c r="T97" s="51">
        <v>1</v>
      </c>
    </row>
    <row r="98" spans="1:20" ht="23.25" thickBot="1">
      <c r="A98" s="328"/>
      <c r="B98" s="140" t="s">
        <v>49</v>
      </c>
      <c r="C98" s="40" t="s">
        <v>50</v>
      </c>
      <c r="D98" s="40" t="s">
        <v>51</v>
      </c>
      <c r="E98" s="134"/>
      <c r="F98" s="42"/>
      <c r="G98" s="304">
        <f>IF(OR((AND(G99="y",H99="y")),(AND(G100="y",H100="y"))),"Too Many CDs","")</f>
      </c>
      <c r="H98" s="304"/>
      <c r="I98" s="304">
        <f>IF(AND(I99="Y",I100="Y"),"Too Many Balls In Center",IF((IF(I99="Y",1,IF(I100="Y",1,0))+J100+K100+J99+K99)&gt;16,"Too Many Balls",""))</f>
      </c>
      <c r="J98" s="305"/>
      <c r="K98" s="305"/>
      <c r="L98" s="304">
        <f>IF(OR((AND(L99="y",M99="y")),(AND(L100="y",M100="y"))),"Not Both Stairs","")</f>
      </c>
      <c r="M98" s="304"/>
      <c r="N98" s="43"/>
      <c r="O98" s="304">
        <f>IF(OR((AND(O99="y",P99="y")),(AND(O100="y",P100="y"))),"Not Both Positions","")</f>
      </c>
      <c r="P98" s="304"/>
      <c r="Q98" s="43"/>
      <c r="R98" s="304">
        <f>IF(OR((AND(R99="y",S99="y")),(AND(R100="y",S100="y"))),"Too Much Food","")</f>
      </c>
      <c r="S98" s="304"/>
      <c r="T98" s="44"/>
    </row>
    <row r="99" spans="1:20" ht="26.25" thickBot="1">
      <c r="A99" s="328"/>
      <c r="B99" s="142">
        <v>3</v>
      </c>
      <c r="C99" s="187">
        <v>0.16458333333333333</v>
      </c>
      <c r="D99" s="138" t="str">
        <f>Team11</f>
        <v>CyberDisks</v>
      </c>
      <c r="E99" s="133">
        <f>(IF(F99="y",$F$4,0))+(IF(G99="y",$G$4,0))+(IF(H99="y",$H$4,0))+(IF(I99="y",$I$4,0))+(IF((0&lt;J99)*(J99&lt;=16),J99*5,0))+(IF((0&lt;K99)*(K99&lt;=16),K99*2,0))+(IF(L99="y",$L$4,0))+(IF(M99="y",$M$4,0))+(IF((N99&gt;0)*(N99&lt;=3),N99*15,0))+(IF(O99="y",$O$4,0))+(IF(P99="y",$P$4,0))+(IF(Q99="y",$Q$4,0))+(IF(R99="y",$R$4,0))+(IF(S99="y",$S$4,0))+(IF((T99&gt;0)*(T99&lt;=3),T99*10,0))</f>
        <v>107</v>
      </c>
      <c r="F99" s="51" t="s">
        <v>142</v>
      </c>
      <c r="G99" s="51"/>
      <c r="H99" s="51" t="s">
        <v>142</v>
      </c>
      <c r="I99" s="51"/>
      <c r="J99" s="51"/>
      <c r="K99" s="51">
        <v>6</v>
      </c>
      <c r="L99" s="51"/>
      <c r="M99" s="51"/>
      <c r="N99" s="51"/>
      <c r="O99" s="51"/>
      <c r="P99" s="51"/>
      <c r="Q99" s="51"/>
      <c r="R99" s="51"/>
      <c r="S99" s="51"/>
      <c r="T99" s="51">
        <v>2</v>
      </c>
    </row>
    <row r="100" spans="1:20" ht="27" thickBot="1">
      <c r="A100" s="328"/>
      <c r="B100" s="141">
        <v>4</v>
      </c>
      <c r="C100" s="187"/>
      <c r="D100" s="138" t="str">
        <f>Team14</f>
        <v>Happy Hippos</v>
      </c>
      <c r="E100" s="133">
        <f>(IF(F100="y",$F$4,0))+(IF(G100="y",$G$4,0))+(IF(H100="y",$H$4,0))+(IF(I100="y",$I$4,0))+(IF((0&lt;J100)*(J100&lt;=16),J100*5,0))+(IF((0&lt;K100)*(K100&lt;=16),K100*2,0))+(IF(L100="y",$L$4,0))+(IF(M100="y",$M$4,0))+(IF((N100&gt;0)*(N100&lt;=3),N100*15,0))+(IF(O100="y",$O$4,0))+(IF(P100="y",$P$4,0))+(IF(Q100="y",$Q$4,0))+(IF(R100="y",$R$4,0))+(IF(S100="y",$S$4,0))+(IF((T100&gt;0)*(T100&lt;=3),T100*10,0))</f>
        <v>183</v>
      </c>
      <c r="F100" s="51" t="s">
        <v>142</v>
      </c>
      <c r="G100" s="51"/>
      <c r="H100" s="51" t="s">
        <v>142</v>
      </c>
      <c r="I100" s="51" t="s">
        <v>142</v>
      </c>
      <c r="J100" s="51">
        <v>1</v>
      </c>
      <c r="K100" s="51">
        <v>4</v>
      </c>
      <c r="L100" s="51"/>
      <c r="M100" s="51"/>
      <c r="N100" s="51"/>
      <c r="O100" s="51" t="s">
        <v>142</v>
      </c>
      <c r="P100" s="51"/>
      <c r="Q100" s="51"/>
      <c r="R100" s="51"/>
      <c r="S100" s="51"/>
      <c r="T100" s="51">
        <v>1</v>
      </c>
    </row>
    <row r="101" spans="1:20" ht="23.25" thickBot="1">
      <c r="A101" s="328"/>
      <c r="B101" s="140" t="s">
        <v>49</v>
      </c>
      <c r="C101" s="40" t="s">
        <v>50</v>
      </c>
      <c r="D101" s="40" t="s">
        <v>51</v>
      </c>
      <c r="E101" s="134"/>
      <c r="F101" s="42"/>
      <c r="G101" s="304">
        <f>IF(OR((AND(G102="y",H102="y")),(AND(G103="y",H103="y"))),"Too Many CDs","")</f>
      </c>
      <c r="H101" s="304"/>
      <c r="I101" s="304">
        <f>IF(AND(I102="Y",I103="Y"),"Too Many Balls In Center",IF((IF(I102="Y",1,IF(I103="Y",1,0))+J103+K103+J102+K102)&gt;16,"Too Many Balls",""))</f>
      </c>
      <c r="J101" s="305"/>
      <c r="K101" s="305"/>
      <c r="L101" s="304">
        <f>IF(OR((AND(L102="y",M102="y")),(AND(L103="y",M103="y"))),"Not Both Stairs","")</f>
      </c>
      <c r="M101" s="304"/>
      <c r="N101" s="43"/>
      <c r="O101" s="304">
        <f>IF(OR((AND(O102="y",P102="y")),(AND(O103="y",P103="y"))),"Not Both Positions","")</f>
      </c>
      <c r="P101" s="304"/>
      <c r="Q101" s="43"/>
      <c r="R101" s="304">
        <f>IF(OR((AND(R102="y",S102="y")),(AND(R103="y",S103="y"))),"Too Much Food","")</f>
      </c>
      <c r="S101" s="304"/>
      <c r="T101" s="44"/>
    </row>
    <row r="102" spans="1:20" ht="26.25" thickBot="1">
      <c r="A102" s="328"/>
      <c r="B102" s="142">
        <v>1</v>
      </c>
      <c r="C102" s="187">
        <v>0.1673611111111111</v>
      </c>
      <c r="D102" s="138" t="str">
        <f>Team12</f>
        <v>Lego Legends</v>
      </c>
      <c r="E102" s="133">
        <f>(IF(F102="y",$F$4,0))+(IF(G102="y",$G$4,0))+(IF(H102="y",$H$4,0))+(IF(I102="y",$I$4,0))+(IF((0&lt;J102)*(J102&lt;=16),J102*5,0))+(IF((0&lt;K102)*(K102&lt;=16),K102*2,0))+(IF(L102="y",$L$4,0))+(IF(M102="y",$M$4,0))+(IF((N102&gt;0)*(N102&lt;=3),N102*15,0))+(IF(O102="y",$O$4,0))+(IF(P102="y",$P$4,0))+(IF(Q102="y",$Q$4,0))+(IF(R102="y",$R$4,0))+(IF(S102="y",$S$4,0))+(IF((T102&gt;0)*(T102&lt;=3),T102*10,0))</f>
        <v>217</v>
      </c>
      <c r="F102" s="51" t="s">
        <v>142</v>
      </c>
      <c r="G102" s="51" t="s">
        <v>142</v>
      </c>
      <c r="H102" s="51"/>
      <c r="I102" s="51" t="s">
        <v>142</v>
      </c>
      <c r="J102" s="51"/>
      <c r="K102" s="51">
        <v>6</v>
      </c>
      <c r="L102" s="51"/>
      <c r="M102" s="51"/>
      <c r="N102" s="51">
        <v>3</v>
      </c>
      <c r="O102" s="51"/>
      <c r="P102" s="51" t="s">
        <v>142</v>
      </c>
      <c r="Q102" s="51"/>
      <c r="R102" s="51"/>
      <c r="S102" s="51"/>
      <c r="T102" s="51">
        <v>1</v>
      </c>
    </row>
    <row r="103" spans="1:20" ht="27" thickBot="1">
      <c r="A103" s="328"/>
      <c r="B103" s="141">
        <v>2</v>
      </c>
      <c r="C103" s="187"/>
      <c r="D103" s="138" t="str">
        <f>Team15</f>
        <v>DogBots</v>
      </c>
      <c r="E103" s="133">
        <f>(IF(F103="y",$F$4,0))+(IF(G103="y",$G$4,0))+(IF(H103="y",$H$4,0))+(IF(I103="y",$I$4,0))+(IF((0&lt;J103)*(J103&lt;=16),J103*5,0))+(IF((0&lt;K103)*(K103&lt;=16),K103*2,0))+(IF(L103="y",$L$4,0))+(IF(M103="y",$M$4,0))+(IF((N103&gt;0)*(N103&lt;=3),N103*15,0))+(IF(O103="y",$O$4,0))+(IF(P103="y",$P$4,0))+(IF(Q103="y",$Q$4,0))+(IF(R103="y",$R$4,0))+(IF(S103="y",$S$4,0))+(IF((T103&gt;0)*(T103&lt;=3),T103*10,0))</f>
        <v>239</v>
      </c>
      <c r="F103" s="51" t="s">
        <v>142</v>
      </c>
      <c r="G103" s="51" t="s">
        <v>142</v>
      </c>
      <c r="H103" s="51"/>
      <c r="I103" s="51"/>
      <c r="J103" s="51"/>
      <c r="K103" s="51">
        <v>7</v>
      </c>
      <c r="L103" s="51"/>
      <c r="M103" s="51"/>
      <c r="N103" s="51">
        <v>3</v>
      </c>
      <c r="O103" s="51" t="s">
        <v>142</v>
      </c>
      <c r="P103" s="51"/>
      <c r="Q103" s="51"/>
      <c r="R103" s="51" t="s">
        <v>142</v>
      </c>
      <c r="S103" s="51"/>
      <c r="T103" s="51">
        <v>2</v>
      </c>
    </row>
    <row r="104" spans="1:20" ht="23.25" thickBot="1">
      <c r="A104" s="328"/>
      <c r="B104" s="140" t="s">
        <v>49</v>
      </c>
      <c r="C104" s="40" t="s">
        <v>50</v>
      </c>
      <c r="D104" s="40" t="s">
        <v>51</v>
      </c>
      <c r="E104" s="134"/>
      <c r="F104" s="42"/>
      <c r="G104" s="304">
        <f>IF(OR((AND(G105="y",H105="y")),(AND(G106="y",H106="y"))),"Too Many CDs","")</f>
      </c>
      <c r="H104" s="304"/>
      <c r="I104" s="304">
        <f>IF(AND(I105="Y",I106="Y"),"Too Many Balls In Center",IF((IF(I105="Y",1,IF(I106="Y",1,0))+J106+K106+J105+K105)&gt;16,"Too Many Balls",""))</f>
      </c>
      <c r="J104" s="305"/>
      <c r="K104" s="305"/>
      <c r="L104" s="304">
        <f>IF(OR((AND(L105="y",M105="y")),(AND(L106="y",M106="y"))),"Not Both Stairs","")</f>
      </c>
      <c r="M104" s="304"/>
      <c r="N104" s="43"/>
      <c r="O104" s="304">
        <f>IF(OR((AND(O105="y",P105="y")),(AND(O106="y",P106="y"))),"Not Both Positions","")</f>
      </c>
      <c r="P104" s="304"/>
      <c r="Q104" s="43"/>
      <c r="R104" s="304">
        <f>IF(OR((AND(R105="y",S105="y")),(AND(R106="y",S106="y"))),"Too Much Food","")</f>
      </c>
      <c r="S104" s="304"/>
      <c r="T104" s="44"/>
    </row>
    <row r="105" spans="1:20" ht="26.25" thickBot="1">
      <c r="A105" s="328"/>
      <c r="B105" s="142">
        <v>3</v>
      </c>
      <c r="C105" s="187">
        <v>0.17013888888888887</v>
      </c>
      <c r="D105" s="138" t="str">
        <f>Team16</f>
        <v>Catbot 2000</v>
      </c>
      <c r="E105" s="133">
        <f>(IF(F105="y",$F$4,0))+(IF(G105="y",$G$4,0))+(IF(H105="y",$H$4,0))+(IF(I105="y",$I$4,0))+(IF((0&lt;J105)*(J105&lt;=16),J105*5,0))+(IF((0&lt;K105)*(K105&lt;=16),K105*2,0))+(IF(L105="y",$L$4,0))+(IF(M105="y",$M$4,0))+(IF((N105&gt;0)*(N105&lt;=3),N105*15,0))+(IF(O105="y",$O$4,0))+(IF(P105="y",$P$4,0))+(IF(Q105="y",$Q$4,0))+(IF(R105="y",$R$4,0))+(IF(S105="y",$S$4,0))+(IF((T105&gt;0)*(T105&lt;=3),T105*10,0))</f>
        <v>60</v>
      </c>
      <c r="F105" s="51"/>
      <c r="G105" s="51" t="s">
        <v>142</v>
      </c>
      <c r="H105" s="51"/>
      <c r="I105" s="51"/>
      <c r="J105" s="51"/>
      <c r="K105" s="51">
        <v>5</v>
      </c>
      <c r="L105" s="51"/>
      <c r="M105" s="51"/>
      <c r="N105" s="51"/>
      <c r="O105" s="51"/>
      <c r="P105" s="51"/>
      <c r="Q105" s="51"/>
      <c r="R105" s="51"/>
      <c r="S105" s="51"/>
      <c r="T105" s="51">
        <v>1</v>
      </c>
    </row>
    <row r="106" spans="1:20" ht="27" thickBot="1">
      <c r="A106" s="328"/>
      <c r="B106" s="141">
        <v>4</v>
      </c>
      <c r="C106" s="187"/>
      <c r="D106" s="138" t="str">
        <f>Team2</f>
        <v>Electric Pussycat</v>
      </c>
      <c r="E106" s="133">
        <f>(IF(F106="y",$F$4,0))+(IF(G106="y",$G$4,0))+(IF(H106="y",$H$4,0))+(IF(I106="y",$I$4,0))+(IF((0&lt;J106)*(J106&lt;=16),J106*5,0))+(IF((0&lt;K106)*(K106&lt;=16),K106*2,0))+(IF(L106="y",$L$4,0))+(IF(M106="y",$M$4,0))+(IF((N106&gt;0)*(N106&lt;=3),N106*15,0))+(IF(O106="y",$O$4,0))+(IF(P106="y",$P$4,0))+(IF(Q106="y",$Q$4,0))+(IF(R106="y",$R$4,0))+(IF(S106="y",$S$4,0))+(IF((T106&gt;0)*(T106&lt;=3),T106*10,0))</f>
        <v>188</v>
      </c>
      <c r="F106" s="51" t="s">
        <v>142</v>
      </c>
      <c r="G106" s="51"/>
      <c r="H106" s="51" t="s">
        <v>142</v>
      </c>
      <c r="I106" s="51" t="s">
        <v>142</v>
      </c>
      <c r="J106" s="51"/>
      <c r="K106" s="51">
        <v>4</v>
      </c>
      <c r="L106" s="51"/>
      <c r="M106" s="51"/>
      <c r="N106" s="51"/>
      <c r="O106" s="51"/>
      <c r="P106" s="51"/>
      <c r="Q106" s="51" t="s">
        <v>142</v>
      </c>
      <c r="R106" s="51"/>
      <c r="S106" s="51"/>
      <c r="T106" s="51">
        <v>2</v>
      </c>
    </row>
    <row r="107" spans="1:20" ht="23.25" thickBot="1">
      <c r="A107" s="328"/>
      <c r="B107" s="140" t="s">
        <v>49</v>
      </c>
      <c r="C107" s="40" t="s">
        <v>50</v>
      </c>
      <c r="D107" s="40" t="s">
        <v>51</v>
      </c>
      <c r="E107" s="134"/>
      <c r="F107" s="42"/>
      <c r="G107" s="304">
        <f>IF(OR((AND(G108="y",H108="y")),(AND(G109="y",H109="y"))),"Too Many CDs","")</f>
      </c>
      <c r="H107" s="304"/>
      <c r="I107" s="304">
        <f>IF(AND(I108="Y",I109="Y"),"Too Many Balls In Center",IF((IF(I108="Y",1,IF(I109="Y",1,0))+J109+K109+J108+K108)&gt;16,"Too Many Balls",""))</f>
      </c>
      <c r="J107" s="305"/>
      <c r="K107" s="305"/>
      <c r="L107" s="304">
        <f>IF(OR((AND(L108="y",M108="y")),(AND(L109="y",M109="y"))),"Not Both Stairs","")</f>
      </c>
      <c r="M107" s="304"/>
      <c r="N107" s="43"/>
      <c r="O107" s="304">
        <f>IF(OR((AND(O108="y",P108="y")),(AND(O109="y",P109="y"))),"Not Both Positions","")</f>
      </c>
      <c r="P107" s="304"/>
      <c r="Q107" s="43"/>
      <c r="R107" s="304">
        <f>IF(OR((AND(R108="y",S108="y")),(AND(R109="y",S109="y"))),"Too Much Food","")</f>
      </c>
      <c r="S107" s="304"/>
      <c r="T107" s="44"/>
    </row>
    <row r="108" spans="1:20" ht="26.25" thickBot="1">
      <c r="A108" s="328"/>
      <c r="B108" s="142">
        <v>1</v>
      </c>
      <c r="C108" s="187">
        <v>0.1729166666666667</v>
      </c>
      <c r="D108" s="138" t="str">
        <f>Team17</f>
        <v>TigerBots</v>
      </c>
      <c r="E108" s="133">
        <f>(IF(F108="y",$F$4,0))+(IF(G108="y",$G$4,0))+(IF(H108="y",$H$4,0))+(IF(I108="y",$I$4,0))+(IF((0&lt;J108)*(J108&lt;=16),J108*5,0))+(IF((0&lt;K108)*(K108&lt;=16),K108*2,0))+(IF(L108="y",$L$4,0))+(IF(M108="y",$M$4,0))+(IF((N108&gt;0)*(N108&lt;=3),N108*15,0))+(IF(O108="y",$O$4,0))+(IF(P108="y",$P$4,0))+(IF(Q108="y",$Q$4,0))+(IF(R108="y",$R$4,0))+(IF(S108="y",$S$4,0))+(IF((T108&gt;0)*(T108&lt;=3),T108*10,0))</f>
        <v>197</v>
      </c>
      <c r="F108" s="51" t="s">
        <v>142</v>
      </c>
      <c r="G108" s="51" t="s">
        <v>142</v>
      </c>
      <c r="H108" s="51"/>
      <c r="I108" s="51"/>
      <c r="J108" s="51">
        <v>1</v>
      </c>
      <c r="K108" s="51">
        <v>6</v>
      </c>
      <c r="L108" s="51"/>
      <c r="M108" s="51"/>
      <c r="N108" s="51"/>
      <c r="O108" s="51"/>
      <c r="P108" s="51"/>
      <c r="Q108" s="51" t="s">
        <v>142</v>
      </c>
      <c r="R108" s="51" t="s">
        <v>142</v>
      </c>
      <c r="S108" s="51"/>
      <c r="T108" s="51">
        <v>2</v>
      </c>
    </row>
    <row r="109" spans="1:20" ht="27" thickBot="1">
      <c r="A109" s="329"/>
      <c r="B109" s="141">
        <v>2</v>
      </c>
      <c r="C109" s="187"/>
      <c r="D109" s="138" t="str">
        <f>Team3</f>
        <v>Team Taffy</v>
      </c>
      <c r="E109" s="133">
        <f>(IF(F109="y",$F$4,0))+(IF(G109="y",$G$4,0))+(IF(H109="y",$H$4,0))+(IF(I109="y",$I$4,0))+(IF((0&lt;J109)*(J109&lt;=16),J109*5,0))+(IF((0&lt;K109)*(K109&lt;=16),K109*2,0))+(IF(L109="y",$L$4,0))+(IF(M109="y",$M$4,0))+(IF((N109&gt;0)*(N109&lt;=3),N109*15,0))+(IF(O109="y",$O$4,0))+(IF(P109="y",$P$4,0))+(IF(Q109="y",$Q$4,0))+(IF(R109="y",$R$4,0))+(IF(S109="y",$S$4,0))+(IF((T109&gt;0)*(T109&lt;=3),T109*10,0))</f>
        <v>200</v>
      </c>
      <c r="F109" s="51" t="s">
        <v>142</v>
      </c>
      <c r="G109" s="51"/>
      <c r="H109" s="51"/>
      <c r="I109" s="51"/>
      <c r="J109" s="51">
        <v>1</v>
      </c>
      <c r="K109" s="51">
        <v>5</v>
      </c>
      <c r="L109" s="51"/>
      <c r="M109" s="51"/>
      <c r="N109" s="51">
        <v>3</v>
      </c>
      <c r="O109" s="51" t="s">
        <v>142</v>
      </c>
      <c r="P109" s="51"/>
      <c r="Q109" s="51"/>
      <c r="R109" s="51" t="s">
        <v>142</v>
      </c>
      <c r="S109" s="51"/>
      <c r="T109" s="51">
        <v>2</v>
      </c>
    </row>
  </sheetData>
  <sheetProtection sheet="1" objects="1" scenarios="1"/>
  <mergeCells count="179">
    <mergeCell ref="O3:P3"/>
    <mergeCell ref="O8:P8"/>
    <mergeCell ref="R3:S3"/>
    <mergeCell ref="G5:H5"/>
    <mergeCell ref="I5:K5"/>
    <mergeCell ref="L5:M5"/>
    <mergeCell ref="O5:P5"/>
    <mergeCell ref="R5:S5"/>
    <mergeCell ref="G3:H3"/>
    <mergeCell ref="I3:K3"/>
    <mergeCell ref="L3:M3"/>
    <mergeCell ref="O14:P14"/>
    <mergeCell ref="R8:S8"/>
    <mergeCell ref="G11:H11"/>
    <mergeCell ref="I11:K11"/>
    <mergeCell ref="L11:M11"/>
    <mergeCell ref="O11:P11"/>
    <mergeCell ref="R11:S11"/>
    <mergeCell ref="G8:H8"/>
    <mergeCell ref="I8:K8"/>
    <mergeCell ref="G20:H20"/>
    <mergeCell ref="I20:K20"/>
    <mergeCell ref="L8:M8"/>
    <mergeCell ref="O20:P20"/>
    <mergeCell ref="G17:H17"/>
    <mergeCell ref="I17:K17"/>
    <mergeCell ref="L17:M17"/>
    <mergeCell ref="O17:P17"/>
    <mergeCell ref="G14:H14"/>
    <mergeCell ref="I14:K14"/>
    <mergeCell ref="G26:H26"/>
    <mergeCell ref="I26:K26"/>
    <mergeCell ref="L26:M26"/>
    <mergeCell ref="O26:P26"/>
    <mergeCell ref="I29:K29"/>
    <mergeCell ref="L14:M14"/>
    <mergeCell ref="O29:P29"/>
    <mergeCell ref="R20:S20"/>
    <mergeCell ref="R26:S26"/>
    <mergeCell ref="R14:S14"/>
    <mergeCell ref="R17:S17"/>
    <mergeCell ref="I45:K45"/>
    <mergeCell ref="L20:M20"/>
    <mergeCell ref="R29:S29"/>
    <mergeCell ref="A5:A31"/>
    <mergeCell ref="G23:H23"/>
    <mergeCell ref="I23:K23"/>
    <mergeCell ref="L23:M23"/>
    <mergeCell ref="O23:P23"/>
    <mergeCell ref="R23:S23"/>
    <mergeCell ref="G29:H29"/>
    <mergeCell ref="R39:S39"/>
    <mergeCell ref="L29:M29"/>
    <mergeCell ref="A33:A56"/>
    <mergeCell ref="G33:H33"/>
    <mergeCell ref="I33:K33"/>
    <mergeCell ref="L33:M33"/>
    <mergeCell ref="G39:H39"/>
    <mergeCell ref="I39:K39"/>
    <mergeCell ref="L39:M39"/>
    <mergeCell ref="G45:H45"/>
    <mergeCell ref="R33:S33"/>
    <mergeCell ref="G36:H36"/>
    <mergeCell ref="I36:K36"/>
    <mergeCell ref="L36:M36"/>
    <mergeCell ref="O36:P36"/>
    <mergeCell ref="R36:S36"/>
    <mergeCell ref="L42:M42"/>
    <mergeCell ref="O42:P42"/>
    <mergeCell ref="L45:M45"/>
    <mergeCell ref="O33:P33"/>
    <mergeCell ref="O39:P39"/>
    <mergeCell ref="R42:S42"/>
    <mergeCell ref="O45:P45"/>
    <mergeCell ref="R45:S45"/>
    <mergeCell ref="G48:H48"/>
    <mergeCell ref="I48:K48"/>
    <mergeCell ref="L48:M48"/>
    <mergeCell ref="O48:P48"/>
    <mergeCell ref="R48:S48"/>
    <mergeCell ref="G42:H42"/>
    <mergeCell ref="I42:K42"/>
    <mergeCell ref="R51:S51"/>
    <mergeCell ref="G54:H54"/>
    <mergeCell ref="I54:K54"/>
    <mergeCell ref="L54:M54"/>
    <mergeCell ref="O54:P54"/>
    <mergeCell ref="R54:S54"/>
    <mergeCell ref="G51:H51"/>
    <mergeCell ref="I51:K51"/>
    <mergeCell ref="L51:M51"/>
    <mergeCell ref="O51:P51"/>
    <mergeCell ref="G67:H67"/>
    <mergeCell ref="I67:K67"/>
    <mergeCell ref="O58:P58"/>
    <mergeCell ref="R58:S58"/>
    <mergeCell ref="G61:H61"/>
    <mergeCell ref="I61:K61"/>
    <mergeCell ref="L61:M61"/>
    <mergeCell ref="O61:P61"/>
    <mergeCell ref="R61:S61"/>
    <mergeCell ref="L58:M58"/>
    <mergeCell ref="L73:M73"/>
    <mergeCell ref="O64:P64"/>
    <mergeCell ref="A58:A84"/>
    <mergeCell ref="G58:H58"/>
    <mergeCell ref="I58:K58"/>
    <mergeCell ref="G70:H70"/>
    <mergeCell ref="I70:K70"/>
    <mergeCell ref="G64:H64"/>
    <mergeCell ref="I64:K64"/>
    <mergeCell ref="L64:M64"/>
    <mergeCell ref="R64:S64"/>
    <mergeCell ref="R67:S67"/>
    <mergeCell ref="R70:S70"/>
    <mergeCell ref="L67:M67"/>
    <mergeCell ref="L70:M70"/>
    <mergeCell ref="O70:P70"/>
    <mergeCell ref="L79:M79"/>
    <mergeCell ref="O67:P67"/>
    <mergeCell ref="R73:S73"/>
    <mergeCell ref="G76:H76"/>
    <mergeCell ref="I76:K76"/>
    <mergeCell ref="L76:M76"/>
    <mergeCell ref="O76:P76"/>
    <mergeCell ref="R76:S76"/>
    <mergeCell ref="G73:H73"/>
    <mergeCell ref="I73:K73"/>
    <mergeCell ref="I98:K98"/>
    <mergeCell ref="O73:P73"/>
    <mergeCell ref="R79:S79"/>
    <mergeCell ref="G82:H82"/>
    <mergeCell ref="I82:K82"/>
    <mergeCell ref="L82:M82"/>
    <mergeCell ref="O82:P82"/>
    <mergeCell ref="R82:S82"/>
    <mergeCell ref="G79:H79"/>
    <mergeCell ref="I79:K79"/>
    <mergeCell ref="R92:S92"/>
    <mergeCell ref="O79:P79"/>
    <mergeCell ref="A86:A109"/>
    <mergeCell ref="G86:H86"/>
    <mergeCell ref="I86:K86"/>
    <mergeCell ref="L86:M86"/>
    <mergeCell ref="G92:H92"/>
    <mergeCell ref="I92:K92"/>
    <mergeCell ref="L92:M92"/>
    <mergeCell ref="G98:H98"/>
    <mergeCell ref="R86:S86"/>
    <mergeCell ref="G89:H89"/>
    <mergeCell ref="I89:K89"/>
    <mergeCell ref="L89:M89"/>
    <mergeCell ref="O89:P89"/>
    <mergeCell ref="R89:S89"/>
    <mergeCell ref="L95:M95"/>
    <mergeCell ref="O95:P95"/>
    <mergeCell ref="L98:M98"/>
    <mergeCell ref="O86:P86"/>
    <mergeCell ref="O92:P92"/>
    <mergeCell ref="R95:S95"/>
    <mergeCell ref="O98:P98"/>
    <mergeCell ref="R98:S98"/>
    <mergeCell ref="G101:H101"/>
    <mergeCell ref="I101:K101"/>
    <mergeCell ref="L101:M101"/>
    <mergeCell ref="O101:P101"/>
    <mergeCell ref="R101:S101"/>
    <mergeCell ref="G95:H95"/>
    <mergeCell ref="I95:K95"/>
    <mergeCell ref="R104:S104"/>
    <mergeCell ref="G104:H104"/>
    <mergeCell ref="I104:K104"/>
    <mergeCell ref="L104:M104"/>
    <mergeCell ref="O104:P104"/>
    <mergeCell ref="R107:S107"/>
    <mergeCell ref="G107:H107"/>
    <mergeCell ref="I107:K107"/>
    <mergeCell ref="L107:M107"/>
    <mergeCell ref="O107:P107"/>
  </mergeCells>
  <conditionalFormatting sqref="O27:S28 O30:S31 F21:I22 O15:S16 O12:S13 O9:S10 F6:I7 O18:S19 L6:M7 O6:S7 F9:I10 L9:M10 F12:I13 L12:M13 F15:I16 L15:M16 F18:I19 L18:M19 L21:M22 L30:M31 F27:I28 L27:M28 F30:I31 O21:S22 O24:S25 F24:I25 L24:M25 O55:S56 F49:I50 O43:S44 O40:S41 O37:S38 F34:I35 O46:S47 L34:M35 O34:S35 F37:I38 L37:M38 F40:I41 L40:M41 F43:I44 L43:M44 F46:I47 L46:M47 L49:M50 F55:I56 L55:M56 O49:S50 O52:S53 F52:I53 L52:M53 O80:S81 O83:S84 F74:I75 O68:S69 O65:S66 O62:S63 F59:I60 O71:S72 L59:M60 O59:S60 F62:I63 L62:M63 F65:I66 L65:M66 F68:I69 L68:M69 F71:I72 L71:M72 L74:M75 L83:M84 F80:I81 L80:M81 F83:I84 O74:S75 O77:S78 F77:I78 L77:M78 O108:S109 F102:I103 O96:S97 O93:S94 O90:S91 F87:I88 O99:S100 L87:M88 O87:S88 F90:I91 L90:M91 F93:I94 L93:M94 F96:I97 L96:M97 F99:I100 L99:M100 L102:M103 L108:M109 F108:I109 O102:S103 O105:S106 F105:I106 L105:M106">
    <cfRule type="cellIs" priority="1" dxfId="0" operator="equal" stopIfTrue="1">
      <formula>"y"</formula>
    </cfRule>
  </conditionalFormatting>
  <conditionalFormatting sqref="J18:K19 T6:T7 J9:K10 J12:K13 J15:K16 T21:T22 J30:K31 J27:K28 N6:N7 J6:K7 T9:T10 N9:N10 T12:T13 N12:N13 T15:T16 N15:N16 T18:T19 N18:N19 N21:N22 N30:N31 T27:T28 N27:N28 T30:T31 J21:K22 J24:K25 T24:T25 N24:N25 J46:K47 T34:T35 J37:K38 J40:K41 J43:K44 T49:T50 J55:K56 N34:N35 J34:K35 T37:T38 N37:N38 T40:T41 N40:N41 T43:T44 N43:N44 T46:T47 N46:N47 N49:N50 T55:T56 N55:N56 J49:K50 J52:K53 T52:T53 N52:N53 J71:K72 T59:T60 J62:K63 J65:K66 J68:K69 T74:T75 J83:K84 J80:K81 N59:N60 J59:K60 T62:T63 N62:N63 T65:T66 N65:N66 T68:T69 N68:N69 T71:T72 N71:N72 N74:N75 N83:N84 T80:T81 N80:N81 T83:T84 J74:K75 J77:K78 T77:T78 N77:N78 J99:K100 T87:T88 J90:K91 J93:K94 J96:K97 T102:T103 J108:K109 N87:N88 J87:K88 T90:T91 N90:N91 T93:T94 N93:N94 T96:T97 N96:N97 T99:T100 N99:N100 N102:N103 N108:N109 T108:T109 J102:K103 J105:K106 T105:T106 N105:N106">
    <cfRule type="cellIs" priority="2" dxfId="0" operator="greaterThan" stopIfTrue="1">
      <formula>0</formula>
    </cfRule>
  </conditionalFormatting>
  <conditionalFormatting sqref="E6:E7 E9:E10 E12:E13 E15:E16 E18:E19 E30:E31 E27:E28 E21:E22 E24:E25 E34:E35 E37:E38 E40:E41 E43:E44 E46:E47 E55:E56 E49:E50 E52:E53 E59:E60 E62:E63 E65:E66 E68:E69 E71:E72 E83:E84 E80:E81 E74:E75 E77:E78 E87:E88 E90:E91 E93:E94 E96:E97 E99:E100 E108:E109 E102:E103 E105:E106">
    <cfRule type="cellIs" priority="3" dxfId="2" operator="equal" stopIfTrue="1">
      <formula>0</formula>
    </cfRule>
  </conditionalFormatting>
  <dataValidations count="4">
    <dataValidation type="list" allowBlank="1" showInputMessage="1" showErrorMessage="1" promptTitle="Input" prompt="Y or Leave Blank" error="Value must be Y or leave blank" sqref="F6:I7 O6:S7 O21:S22 L12:M13 L21:M22 F9:I10 L18:M19 O9:S10 F12:I13 O12:S13 F15:I16 L6:M7 O15:S16 F18:I19 L9:M10 O18:S19 F27:I28 L15:M16 O27:S28 L30:M31 F30:I31 L27:M28 O30:S31 F21:I22 F24:I25 O24:S25 L24:M25 F34:I35 O34:S35 O49:S50 L40:M41 L49:M50 F37:I38 L46:M47 O37:S38 F40:I41 O40:S41 F43:I44 L34:M35 O43:S44 F46:I47 L37:M38 O46:S47 F55:I56 L43:M44 O55:S56 L55:M56 F49:I50 F52:I53 O52:S53 L52:M53 F59:I60 O59:S60 O74:S75 L65:M66 L74:M75 F62:I63 L71:M72 O62:S63 F65:I66 O65:S66 F68:I69 L59:M60 O68:S69 F71:I72 L62:M63 O71:S72 F80:I81 L68:M69 O80:S81 L83:M84 F83:I84 L80:M81 O83:S84 F74:I75 F77:I78 O77:S78 L77:M78 F87:I88 O87:S88 O102:S103 L93:M94 L102:M103 F90:I91 L99:M100 O90:S91 F93:I94 O93:S94 F96:I97 L87:M88 O96:S97 F99:I100 L90:M91 O99:S100 L96:M97 L108:M109 F108:I109 O108:S109 F102:I103 F105:I106">
      <formula1>"Y,"</formula1>
    </dataValidation>
    <dataValidation type="list" allowBlank="1" showInputMessage="1" showErrorMessage="1" promptTitle="Input" prompt="Y or Leave Blank" error="Value must be Y or leave blank" sqref="O105:S106 L105:M106">
      <formula1>"Y,"</formula1>
    </dataValidation>
    <dataValidation type="whole" allowBlank="1" showInputMessage="1" showErrorMessage="1" promptTitle="Input" prompt="Input 1 thru 3" error="Value must be 1 thru 3" sqref="T6:T7 T21:T22 N9:N10 N12:N13 N15:N16 N18:N19 N27:N28 N30:N31 T27:T28 T30:T31 T18:T19 T15:T16 T12:T13 T9:T10 N6:N7 N21:N22 N24:N25 T24:T25 T34:T35 T49:T50 N37:N38 N40:N41 N43:N44 N46:N47 N55:N56 T55:T56 T46:T47 T43:T44 T40:T41 T37:T38 N34:N35 N49:N50 N52:N53 T52:T53 T59:T60 T74:T75 N62:N63 N65:N66 N68:N69 N71:N72 N80:N81 N83:N84 T80:T81 T83:T84 T71:T72 T68:T69 T65:T66 T62:T63 N59:N60 N74:N75 N77:N78 T77:T78 T87:T88 T102:T103 N90:N91 N93:N94 N96:N97 N99:N100 N108:N109 T108:T109 T99:T100 T96:T97 T93:T94 T90:T91 N87:N88 N102:N103 N105:N106 T105:T106">
      <formula1>1</formula1>
      <formula2>3</formula2>
    </dataValidation>
    <dataValidation type="whole" allowBlank="1" showInputMessage="1" showErrorMessage="1" promptTitle="Input" prompt="1 thru 16" error="Value must be 1 thru 16" sqref="J6:K7 J9:K10 J12:K13 J15:K16 J18:K19 J27:K28 J30:K31 J21:K22 J24:K25 J34:K35 J37:K38 J40:K41 J43:K44 J46:K47 J55:K56 J49:K50 J52:K53 J59:K60 J62:K63 J65:K66 J68:K69 J71:K72 J80:K81 J83:K84 J74:K75 J77:K78 J87:K88 J90:K91 J93:K94 J96:K97 J99:K100 J108:K109 J102:K103 J105:K106">
      <formula1>1</formula1>
      <formula2>16</formula2>
    </dataValidation>
  </dataValidations>
  <printOptions/>
  <pageMargins left="0.75" right="0.75" top="1" bottom="1.27" header="0.5" footer="0.5"/>
  <pageSetup fitToHeight="0" fitToWidth="1" horizontalDpi="300" verticalDpi="300" orientation="portrait" scale="40" r:id="rId3"/>
  <headerFooter alignWithMargins="0">
    <oddFooter>&amp;C&amp;D</oddFooter>
  </headerFooter>
  <rowBreaks count="1" manualBreakCount="1">
    <brk id="57" max="255" man="1"/>
  </rowBreaks>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S50"/>
  <sheetViews>
    <sheetView workbookViewId="0" topLeftCell="A3">
      <selection activeCell="A4" sqref="A4"/>
    </sheetView>
  </sheetViews>
  <sheetFormatPr defaultColWidth="9.140625" defaultRowHeight="12.75"/>
  <cols>
    <col min="1" max="1" width="25.7109375" style="0" customWidth="1"/>
    <col min="5" max="5" width="9.140625" style="0" hidden="1" customWidth="1"/>
    <col min="8" max="13" width="0" style="0" hidden="1" customWidth="1"/>
    <col min="18" max="18" width="26.140625" style="0" customWidth="1"/>
  </cols>
  <sheetData>
    <row r="1" spans="1:17" ht="12.75" hidden="1">
      <c r="A1" s="188"/>
      <c r="B1" s="73"/>
      <c r="C1" s="73"/>
      <c r="D1" s="73"/>
      <c r="E1" s="73"/>
      <c r="F1" s="73"/>
      <c r="G1" s="73"/>
      <c r="H1" s="73"/>
      <c r="I1" s="73"/>
      <c r="J1" s="73"/>
      <c r="K1" s="73"/>
      <c r="L1" s="73"/>
      <c r="M1" s="73"/>
      <c r="N1" s="189"/>
      <c r="O1" s="73"/>
      <c r="P1" s="82"/>
      <c r="Q1" s="190"/>
    </row>
    <row r="2" spans="1:17" ht="13.5" hidden="1" thickBot="1">
      <c r="A2" s="191"/>
      <c r="B2" s="73"/>
      <c r="C2" s="73"/>
      <c r="D2" s="73"/>
      <c r="E2" s="73"/>
      <c r="F2" s="73"/>
      <c r="G2" s="73"/>
      <c r="H2" s="73"/>
      <c r="I2" s="73"/>
      <c r="J2" s="73"/>
      <c r="K2" s="73"/>
      <c r="L2" s="73"/>
      <c r="M2" s="73"/>
      <c r="N2" s="189"/>
      <c r="O2" s="73"/>
      <c r="P2" s="82"/>
      <c r="Q2" s="190"/>
    </row>
    <row r="3" spans="1:18" ht="54.75" customHeight="1" thickBot="1">
      <c r="A3" s="192" t="s">
        <v>212</v>
      </c>
      <c r="B3" s="287" t="s">
        <v>213</v>
      </c>
      <c r="C3" s="289" t="s">
        <v>214</v>
      </c>
      <c r="D3" s="293" t="s">
        <v>215</v>
      </c>
      <c r="E3" s="242" t="s">
        <v>216</v>
      </c>
      <c r="F3" s="243" t="s">
        <v>217</v>
      </c>
      <c r="G3" s="241" t="s">
        <v>218</v>
      </c>
      <c r="H3" s="244" t="s">
        <v>219</v>
      </c>
      <c r="I3" s="245" t="s">
        <v>220</v>
      </c>
      <c r="J3" s="246" t="s">
        <v>221</v>
      </c>
      <c r="K3" s="247" t="s">
        <v>222</v>
      </c>
      <c r="L3" s="248" t="s">
        <v>223</v>
      </c>
      <c r="M3" s="249" t="s">
        <v>224</v>
      </c>
      <c r="N3" s="250" t="s">
        <v>225</v>
      </c>
      <c r="O3" s="296" t="s">
        <v>226</v>
      </c>
      <c r="P3" s="193"/>
      <c r="Q3" s="190"/>
      <c r="R3" s="194" t="s">
        <v>227</v>
      </c>
    </row>
    <row r="4" spans="1:18" ht="16.5" thickBot="1">
      <c r="A4" s="251" t="s">
        <v>228</v>
      </c>
      <c r="B4" s="288">
        <v>10</v>
      </c>
      <c r="C4" s="290">
        <v>10</v>
      </c>
      <c r="D4" s="294">
        <v>10</v>
      </c>
      <c r="E4" s="221">
        <v>0</v>
      </c>
      <c r="F4" s="222">
        <v>25</v>
      </c>
      <c r="G4" s="220">
        <v>25</v>
      </c>
      <c r="H4" s="223"/>
      <c r="I4" s="224"/>
      <c r="J4" s="225"/>
      <c r="K4" s="226"/>
      <c r="L4" s="227"/>
      <c r="M4" s="228"/>
      <c r="N4" s="229">
        <v>400</v>
      </c>
      <c r="O4" s="297">
        <v>20</v>
      </c>
      <c r="P4" s="339" t="s">
        <v>229</v>
      </c>
      <c r="Q4" s="190"/>
      <c r="R4" s="341" t="s">
        <v>281</v>
      </c>
    </row>
    <row r="5" spans="1:18" ht="16.5" thickBot="1">
      <c r="A5" s="195" t="s">
        <v>230</v>
      </c>
      <c r="B5" s="343" t="s">
        <v>236</v>
      </c>
      <c r="C5" s="344"/>
      <c r="D5" s="344"/>
      <c r="E5" s="344"/>
      <c r="F5" s="344"/>
      <c r="G5" s="344"/>
      <c r="H5" s="344"/>
      <c r="I5" s="344"/>
      <c r="J5" s="344"/>
      <c r="K5" s="344"/>
      <c r="L5" s="344"/>
      <c r="M5" s="344"/>
      <c r="N5" s="344"/>
      <c r="O5" s="345"/>
      <c r="P5" s="340"/>
      <c r="Q5" s="190"/>
      <c r="R5" s="342"/>
    </row>
    <row r="6" spans="1:18" ht="12.75">
      <c r="A6" s="252" t="str">
        <f>Team1</f>
        <v>Mechanical Monkeys</v>
      </c>
      <c r="B6" s="286">
        <v>6</v>
      </c>
      <c r="C6" s="291">
        <v>6</v>
      </c>
      <c r="D6" s="295">
        <v>2</v>
      </c>
      <c r="E6" s="196"/>
      <c r="F6" s="218"/>
      <c r="G6" s="214">
        <v>4</v>
      </c>
      <c r="H6" s="197"/>
      <c r="I6" s="198"/>
      <c r="J6" s="199"/>
      <c r="K6" s="200"/>
      <c r="L6" s="201"/>
      <c r="M6" s="202"/>
      <c r="N6" s="203">
        <f>'Local Comp Teams'!K3</f>
        <v>77</v>
      </c>
      <c r="O6" s="298">
        <f>IF(N6=0,0,10*N6/MAX(N$6:N$98))</f>
        <v>2.206303724928367</v>
      </c>
      <c r="P6" s="204">
        <f aca="true" t="shared" si="0" ref="P6:P22">IF(SUM(B6:M6,O6)=0,"",IF(SUM($B$4:$M$4,$O$4)&gt;100,"                               Weights don't add up to 100",(B6*$B$4+$C$4*C6+D6*$D$4+$E$4*E6+$F$4*F6+$H$4*H6+$G$4*G6+$I$4*I6+J6*$J$4+$K$4*K6+L6*$L$4+$M$4*M6+O6*$O$4)/100))</f>
        <v>2.8412607449856733</v>
      </c>
      <c r="Q6" s="190"/>
      <c r="R6" s="342"/>
    </row>
    <row r="7" spans="1:18" ht="12.75">
      <c r="A7" s="252" t="str">
        <f>Team2</f>
        <v>Electric Pussycat</v>
      </c>
      <c r="B7" s="286">
        <v>7</v>
      </c>
      <c r="C7" s="291">
        <v>7</v>
      </c>
      <c r="D7" s="295">
        <v>6</v>
      </c>
      <c r="E7" s="196"/>
      <c r="F7" s="218"/>
      <c r="G7" s="214">
        <v>4</v>
      </c>
      <c r="H7" s="197">
        <v>0</v>
      </c>
      <c r="I7" s="198">
        <v>0</v>
      </c>
      <c r="J7" s="199">
        <v>0</v>
      </c>
      <c r="K7" s="200">
        <v>0</v>
      </c>
      <c r="L7" s="201">
        <v>0</v>
      </c>
      <c r="M7" s="202">
        <v>0</v>
      </c>
      <c r="N7" s="203">
        <f>'Local Comp Teams'!K4</f>
        <v>188</v>
      </c>
      <c r="O7" s="298">
        <f aca="true" t="shared" si="1" ref="O7:O22">IF(N7=0,0,10*N7/MAX(N$6:N$98))</f>
        <v>5.386819484240688</v>
      </c>
      <c r="P7" s="204">
        <f t="shared" si="0"/>
        <v>4.077363896848137</v>
      </c>
      <c r="Q7" s="190"/>
      <c r="R7" s="346" t="s">
        <v>231</v>
      </c>
    </row>
    <row r="8" spans="1:18" ht="12.75">
      <c r="A8" s="252" t="str">
        <f>Team3</f>
        <v>Team Taffy</v>
      </c>
      <c r="B8" s="286">
        <v>8</v>
      </c>
      <c r="C8" s="291">
        <v>7</v>
      </c>
      <c r="D8" s="295">
        <v>8</v>
      </c>
      <c r="E8" s="196"/>
      <c r="F8" s="218"/>
      <c r="G8" s="375">
        <v>9</v>
      </c>
      <c r="H8" s="197"/>
      <c r="I8" s="198"/>
      <c r="J8" s="199"/>
      <c r="K8" s="200"/>
      <c r="L8" s="201"/>
      <c r="M8" s="202"/>
      <c r="N8" s="376">
        <f>'Local Comp Teams'!K5</f>
        <v>349</v>
      </c>
      <c r="O8" s="378">
        <f t="shared" si="1"/>
        <v>10</v>
      </c>
      <c r="P8" s="204">
        <f t="shared" si="0"/>
        <v>6.55</v>
      </c>
      <c r="Q8" s="190"/>
      <c r="R8" s="347"/>
    </row>
    <row r="9" spans="1:18" ht="12.75">
      <c r="A9" s="252" t="str">
        <f>Team4</f>
        <v>Army of Six</v>
      </c>
      <c r="B9" s="286">
        <v>4</v>
      </c>
      <c r="C9" s="291">
        <v>6</v>
      </c>
      <c r="D9" s="295">
        <v>6</v>
      </c>
      <c r="E9" s="196"/>
      <c r="F9" s="218"/>
      <c r="G9" s="214">
        <v>7</v>
      </c>
      <c r="H9" s="197"/>
      <c r="I9" s="198"/>
      <c r="J9" s="199"/>
      <c r="K9" s="200"/>
      <c r="L9" s="201"/>
      <c r="M9" s="202"/>
      <c r="N9" s="203">
        <f>'Local Comp Teams'!K6</f>
        <v>171</v>
      </c>
      <c r="O9" s="298">
        <f t="shared" si="1"/>
        <v>4.899713467048711</v>
      </c>
      <c r="P9" s="204">
        <f t="shared" si="0"/>
        <v>4.329942693409743</v>
      </c>
      <c r="Q9" s="190"/>
      <c r="R9" s="347"/>
    </row>
    <row r="10" spans="1:18" ht="12.75">
      <c r="A10" s="252" t="str">
        <f>Team5</f>
        <v>TheraBots</v>
      </c>
      <c r="B10" s="286">
        <v>5</v>
      </c>
      <c r="C10" s="291">
        <v>7</v>
      </c>
      <c r="D10" s="295">
        <v>4</v>
      </c>
      <c r="E10" s="196"/>
      <c r="F10" s="218"/>
      <c r="G10" s="214">
        <v>4</v>
      </c>
      <c r="H10" s="197"/>
      <c r="I10" s="198"/>
      <c r="J10" s="199"/>
      <c r="K10" s="200"/>
      <c r="L10" s="201"/>
      <c r="M10" s="202"/>
      <c r="N10" s="203">
        <f>'Local Comp Teams'!K7</f>
        <v>142</v>
      </c>
      <c r="O10" s="298">
        <f t="shared" si="1"/>
        <v>4.0687679083094554</v>
      </c>
      <c r="P10" s="204">
        <f t="shared" si="0"/>
        <v>3.4137535816618914</v>
      </c>
      <c r="Q10" s="190"/>
      <c r="R10" s="347"/>
    </row>
    <row r="11" spans="1:17" ht="12.75">
      <c r="A11" s="252" t="str">
        <f>Team6</f>
        <v>RoboFreaks</v>
      </c>
      <c r="B11" s="286">
        <v>6</v>
      </c>
      <c r="C11" s="291">
        <v>6</v>
      </c>
      <c r="D11" s="295">
        <v>5</v>
      </c>
      <c r="E11" s="196"/>
      <c r="F11" s="218"/>
      <c r="G11" s="214">
        <v>3</v>
      </c>
      <c r="H11" s="197"/>
      <c r="I11" s="198"/>
      <c r="J11" s="199"/>
      <c r="K11" s="200"/>
      <c r="L11" s="201"/>
      <c r="M11" s="202"/>
      <c r="N11" s="203">
        <f>'Local Comp Teams'!K8</f>
        <v>159</v>
      </c>
      <c r="O11" s="298">
        <f t="shared" si="1"/>
        <v>4.555873925501433</v>
      </c>
      <c r="P11" s="204">
        <f t="shared" si="0"/>
        <v>3.3611747851002867</v>
      </c>
      <c r="Q11" s="190"/>
    </row>
    <row r="12" spans="1:18" ht="12.75">
      <c r="A12" s="252" t="str">
        <f>Team7</f>
        <v>CyberBots</v>
      </c>
      <c r="B12" s="286">
        <v>3</v>
      </c>
      <c r="C12" s="291">
        <v>5</v>
      </c>
      <c r="D12" s="295">
        <v>5</v>
      </c>
      <c r="E12" s="196"/>
      <c r="F12" s="218"/>
      <c r="G12" s="214">
        <v>4</v>
      </c>
      <c r="H12" s="197">
        <v>0</v>
      </c>
      <c r="I12" s="198">
        <v>0</v>
      </c>
      <c r="J12" s="199">
        <v>0</v>
      </c>
      <c r="K12" s="200">
        <v>0</v>
      </c>
      <c r="L12" s="201">
        <v>0</v>
      </c>
      <c r="M12" s="202">
        <v>0</v>
      </c>
      <c r="N12" s="203">
        <f>'Local Comp Teams'!K9</f>
        <v>90</v>
      </c>
      <c r="O12" s="298">
        <f t="shared" si="1"/>
        <v>2.5787965616045847</v>
      </c>
      <c r="P12" s="204">
        <f t="shared" si="0"/>
        <v>2.815759312320917</v>
      </c>
      <c r="Q12" s="190"/>
      <c r="R12" s="299"/>
    </row>
    <row r="13" spans="1:18" ht="12.75">
      <c r="A13" s="252" t="str">
        <f>Team8</f>
        <v>Roboraiders</v>
      </c>
      <c r="B13" s="286">
        <v>5</v>
      </c>
      <c r="C13" s="291">
        <v>7</v>
      </c>
      <c r="D13" s="295">
        <v>6</v>
      </c>
      <c r="E13" s="196"/>
      <c r="F13" s="218"/>
      <c r="G13" s="214">
        <v>7</v>
      </c>
      <c r="H13" s="197">
        <v>0</v>
      </c>
      <c r="I13" s="198">
        <v>0</v>
      </c>
      <c r="J13" s="199">
        <v>0</v>
      </c>
      <c r="K13" s="200">
        <v>0</v>
      </c>
      <c r="L13" s="201">
        <v>0</v>
      </c>
      <c r="M13" s="202">
        <v>0</v>
      </c>
      <c r="N13" s="203">
        <f>'Local Comp Teams'!K10</f>
        <v>161</v>
      </c>
      <c r="O13" s="298">
        <f t="shared" si="1"/>
        <v>4.613180515759312</v>
      </c>
      <c r="P13" s="204">
        <f t="shared" si="0"/>
        <v>4.472636103151863</v>
      </c>
      <c r="Q13" s="190"/>
      <c r="R13" s="299"/>
    </row>
    <row r="14" spans="1:18" ht="12.75">
      <c r="A14" s="252" t="str">
        <f>Team9</f>
        <v>RoboPups</v>
      </c>
      <c r="B14" s="286">
        <v>7</v>
      </c>
      <c r="C14" s="291">
        <v>5</v>
      </c>
      <c r="D14" s="295">
        <v>6</v>
      </c>
      <c r="E14" s="196"/>
      <c r="F14" s="218"/>
      <c r="G14" s="214">
        <v>3</v>
      </c>
      <c r="H14" s="197">
        <v>0</v>
      </c>
      <c r="I14" s="198">
        <v>0</v>
      </c>
      <c r="J14" s="199">
        <v>0</v>
      </c>
      <c r="K14" s="200">
        <v>0</v>
      </c>
      <c r="L14" s="201">
        <v>0</v>
      </c>
      <c r="M14" s="202">
        <v>0</v>
      </c>
      <c r="N14" s="203">
        <f>'Local Comp Teams'!K11</f>
        <v>126</v>
      </c>
      <c r="O14" s="298">
        <f t="shared" si="1"/>
        <v>3.6103151862464182</v>
      </c>
      <c r="P14" s="204">
        <f t="shared" si="0"/>
        <v>3.272063037249284</v>
      </c>
      <c r="Q14" s="190"/>
      <c r="R14" s="299"/>
    </row>
    <row r="15" spans="1:18" ht="12.75">
      <c r="A15" s="252" t="str">
        <f>Team10</f>
        <v>Battery-powered Legomen</v>
      </c>
      <c r="B15" s="286">
        <v>5</v>
      </c>
      <c r="C15" s="291">
        <v>3</v>
      </c>
      <c r="D15" s="295">
        <v>6</v>
      </c>
      <c r="E15" s="196"/>
      <c r="F15" s="218"/>
      <c r="G15" s="214">
        <v>5</v>
      </c>
      <c r="H15" s="197">
        <v>0</v>
      </c>
      <c r="I15" s="198">
        <v>0</v>
      </c>
      <c r="J15" s="199">
        <v>0</v>
      </c>
      <c r="K15" s="200">
        <v>0</v>
      </c>
      <c r="L15" s="201">
        <v>0</v>
      </c>
      <c r="M15" s="202">
        <v>0</v>
      </c>
      <c r="N15" s="203">
        <f>'Local Comp Teams'!K12</f>
        <v>127</v>
      </c>
      <c r="O15" s="298">
        <f t="shared" si="1"/>
        <v>3.638968481375358</v>
      </c>
      <c r="P15" s="204">
        <f t="shared" si="0"/>
        <v>3.3777936962750714</v>
      </c>
      <c r="Q15" s="190"/>
      <c r="R15" s="299"/>
    </row>
    <row r="16" spans="1:18" ht="12.75">
      <c r="A16" s="252" t="str">
        <f>Team11</f>
        <v>CyberDisks</v>
      </c>
      <c r="B16" s="286">
        <v>7</v>
      </c>
      <c r="C16" s="197">
        <v>8</v>
      </c>
      <c r="D16" s="295">
        <v>7</v>
      </c>
      <c r="E16" s="196"/>
      <c r="F16" s="218"/>
      <c r="G16" s="214">
        <v>6</v>
      </c>
      <c r="H16" s="197">
        <v>0</v>
      </c>
      <c r="I16" s="198">
        <v>0</v>
      </c>
      <c r="J16" s="199">
        <v>0</v>
      </c>
      <c r="K16" s="200">
        <v>0</v>
      </c>
      <c r="L16" s="201">
        <v>0</v>
      </c>
      <c r="M16" s="202">
        <v>0</v>
      </c>
      <c r="N16" s="203">
        <f>'Local Comp Teams'!K13</f>
        <v>107</v>
      </c>
      <c r="O16" s="298">
        <f t="shared" si="1"/>
        <v>3.0659025787965617</v>
      </c>
      <c r="P16" s="204">
        <f t="shared" si="0"/>
        <v>4.313180515759313</v>
      </c>
      <c r="Q16" s="190"/>
      <c r="R16" s="299"/>
    </row>
    <row r="17" spans="1:18" ht="12.75">
      <c r="A17" s="252" t="str">
        <f>Team12</f>
        <v>Lego Legends</v>
      </c>
      <c r="B17" s="286">
        <v>8</v>
      </c>
      <c r="C17" s="291">
        <v>7</v>
      </c>
      <c r="D17" s="295">
        <v>6</v>
      </c>
      <c r="E17" s="196"/>
      <c r="F17" s="367">
        <v>10</v>
      </c>
      <c r="G17" s="214">
        <v>8</v>
      </c>
      <c r="H17" s="197">
        <v>0</v>
      </c>
      <c r="I17" s="198">
        <v>0</v>
      </c>
      <c r="J17" s="199">
        <v>0</v>
      </c>
      <c r="K17" s="200">
        <v>0</v>
      </c>
      <c r="L17" s="201">
        <v>0</v>
      </c>
      <c r="M17" s="202">
        <v>0</v>
      </c>
      <c r="N17" s="203">
        <f>'Local Comp Teams'!K14</f>
        <v>217</v>
      </c>
      <c r="O17" s="298">
        <f t="shared" si="1"/>
        <v>6.217765042979942</v>
      </c>
      <c r="P17" s="377">
        <f t="shared" si="0"/>
        <v>7.843553008595989</v>
      </c>
      <c r="Q17" s="190"/>
      <c r="R17" s="299"/>
    </row>
    <row r="18" spans="1:18" ht="12.75">
      <c r="A18" s="252" t="str">
        <f>Team13</f>
        <v>Rocking Robotics</v>
      </c>
      <c r="B18" s="286">
        <v>5</v>
      </c>
      <c r="C18" s="291">
        <v>5</v>
      </c>
      <c r="D18" s="295">
        <v>5</v>
      </c>
      <c r="E18" s="196"/>
      <c r="F18" s="218"/>
      <c r="G18" s="214">
        <v>7</v>
      </c>
      <c r="H18" s="197">
        <v>0</v>
      </c>
      <c r="I18" s="198">
        <v>0</v>
      </c>
      <c r="J18" s="199">
        <v>0</v>
      </c>
      <c r="K18" s="200">
        <v>0</v>
      </c>
      <c r="L18" s="201">
        <v>0</v>
      </c>
      <c r="M18" s="202">
        <v>0</v>
      </c>
      <c r="N18" s="203">
        <f>'Local Comp Teams'!K15</f>
        <v>102</v>
      </c>
      <c r="O18" s="298">
        <f t="shared" si="1"/>
        <v>2.9226361031518624</v>
      </c>
      <c r="P18" s="204">
        <f t="shared" si="0"/>
        <v>3.834527220630372</v>
      </c>
      <c r="Q18" s="190"/>
      <c r="R18" s="299"/>
    </row>
    <row r="19" spans="1:18" ht="12.75">
      <c r="A19" s="252" t="str">
        <f>Team14</f>
        <v>Happy Hippos</v>
      </c>
      <c r="B19" s="286">
        <v>7</v>
      </c>
      <c r="C19" s="291">
        <v>7</v>
      </c>
      <c r="D19" s="295">
        <v>6</v>
      </c>
      <c r="E19" s="196"/>
      <c r="F19" s="218">
        <v>3</v>
      </c>
      <c r="G19" s="214">
        <v>8</v>
      </c>
      <c r="H19" s="197">
        <v>0</v>
      </c>
      <c r="I19" s="198">
        <v>0</v>
      </c>
      <c r="J19" s="199">
        <v>0</v>
      </c>
      <c r="K19" s="200">
        <v>0</v>
      </c>
      <c r="L19" s="201">
        <v>0</v>
      </c>
      <c r="M19" s="202">
        <v>0</v>
      </c>
      <c r="N19" s="203">
        <f>'Local Comp Teams'!K16</f>
        <v>183</v>
      </c>
      <c r="O19" s="298">
        <f t="shared" si="1"/>
        <v>5.243553008595988</v>
      </c>
      <c r="P19" s="204">
        <f t="shared" si="0"/>
        <v>5.798710601719198</v>
      </c>
      <c r="Q19" s="190"/>
      <c r="R19" s="299"/>
    </row>
    <row r="20" spans="1:18" ht="12.75">
      <c r="A20" s="252" t="str">
        <f>Team15</f>
        <v>DogBots</v>
      </c>
      <c r="B20" s="373">
        <v>9</v>
      </c>
      <c r="C20" s="368">
        <v>8</v>
      </c>
      <c r="D20" s="371">
        <v>9</v>
      </c>
      <c r="E20" s="196"/>
      <c r="F20" s="218">
        <v>3</v>
      </c>
      <c r="G20" s="214">
        <v>8</v>
      </c>
      <c r="H20" s="197">
        <v>0</v>
      </c>
      <c r="I20" s="198">
        <v>0</v>
      </c>
      <c r="J20" s="199">
        <v>0</v>
      </c>
      <c r="K20" s="200">
        <v>0</v>
      </c>
      <c r="L20" s="201">
        <v>0</v>
      </c>
      <c r="M20" s="202">
        <v>0</v>
      </c>
      <c r="N20" s="203">
        <f>'Local Comp Teams'!K17</f>
        <v>273</v>
      </c>
      <c r="O20" s="298">
        <f t="shared" si="1"/>
        <v>7.822349570200573</v>
      </c>
      <c r="P20" s="204">
        <f t="shared" si="0"/>
        <v>6.914469914040114</v>
      </c>
      <c r="Q20" s="190"/>
      <c r="R20" s="299"/>
    </row>
    <row r="21" spans="1:18" ht="12.75">
      <c r="A21" s="252" t="str">
        <f>Team16</f>
        <v>Catbot 2000</v>
      </c>
      <c r="B21" s="286">
        <v>6</v>
      </c>
      <c r="C21" s="291">
        <v>5</v>
      </c>
      <c r="D21" s="295">
        <v>6</v>
      </c>
      <c r="E21" s="196"/>
      <c r="F21" s="218"/>
      <c r="G21" s="214">
        <v>7</v>
      </c>
      <c r="H21" s="197">
        <v>0</v>
      </c>
      <c r="I21" s="198">
        <v>0</v>
      </c>
      <c r="J21" s="199">
        <v>0</v>
      </c>
      <c r="K21" s="200">
        <v>0</v>
      </c>
      <c r="L21" s="201">
        <v>0</v>
      </c>
      <c r="M21" s="202">
        <v>0</v>
      </c>
      <c r="N21" s="203">
        <f>'Local Comp Teams'!K18</f>
        <v>109</v>
      </c>
      <c r="O21" s="298">
        <f t="shared" si="1"/>
        <v>3.1232091690544412</v>
      </c>
      <c r="P21" s="204">
        <f t="shared" si="0"/>
        <v>4.0746418338108885</v>
      </c>
      <c r="Q21" s="190"/>
      <c r="R21" s="299"/>
    </row>
    <row r="22" spans="1:18" ht="13.5" thickBot="1">
      <c r="A22" s="253" t="str">
        <f>Team17</f>
        <v>TigerBots</v>
      </c>
      <c r="B22" s="369">
        <v>9</v>
      </c>
      <c r="C22" s="292">
        <v>8</v>
      </c>
      <c r="D22" s="366">
        <v>10</v>
      </c>
      <c r="E22" s="254"/>
      <c r="F22" s="372">
        <v>5</v>
      </c>
      <c r="G22" s="374">
        <v>9</v>
      </c>
      <c r="H22" s="255">
        <v>0</v>
      </c>
      <c r="I22" s="256">
        <v>0</v>
      </c>
      <c r="J22" s="257">
        <v>0</v>
      </c>
      <c r="K22" s="258">
        <v>0</v>
      </c>
      <c r="L22" s="259">
        <v>0</v>
      </c>
      <c r="M22" s="260">
        <v>0</v>
      </c>
      <c r="N22" s="379">
        <f>'Local Comp Teams'!K19</f>
        <v>274</v>
      </c>
      <c r="O22" s="380">
        <f t="shared" si="1"/>
        <v>7.851002865329513</v>
      </c>
      <c r="P22" s="381">
        <f t="shared" si="0"/>
        <v>7.770200573065903</v>
      </c>
      <c r="Q22" s="190"/>
      <c r="R22" s="299"/>
    </row>
    <row r="23" spans="1:18" ht="13.5" thickBot="1">
      <c r="A23" s="205"/>
      <c r="B23" s="206"/>
      <c r="C23" s="207"/>
      <c r="D23" s="208"/>
      <c r="E23" s="209"/>
      <c r="F23" s="208"/>
      <c r="G23" s="209"/>
      <c r="H23" s="207"/>
      <c r="I23" s="209"/>
      <c r="J23" s="208"/>
      <c r="K23" s="209"/>
      <c r="L23" s="209"/>
      <c r="M23" s="209"/>
      <c r="N23" s="210"/>
      <c r="O23" s="211"/>
      <c r="P23" s="212"/>
      <c r="Q23" s="213"/>
      <c r="R23" s="299"/>
    </row>
    <row r="24" spans="1:19" ht="13.5" thickBot="1">
      <c r="A24" s="238" t="s">
        <v>239</v>
      </c>
      <c r="B24" s="239" t="s">
        <v>237</v>
      </c>
      <c r="C24" s="240" t="s">
        <v>238</v>
      </c>
      <c r="D24" s="208"/>
      <c r="E24" s="209"/>
      <c r="F24" s="385" t="s">
        <v>290</v>
      </c>
      <c r="G24" s="385"/>
      <c r="H24" s="207"/>
      <c r="I24" s="209"/>
      <c r="J24" s="208"/>
      <c r="K24" s="209"/>
      <c r="L24" s="209"/>
      <c r="M24" s="209"/>
      <c r="N24" s="210"/>
      <c r="O24" s="211"/>
      <c r="P24" s="212"/>
      <c r="Q24" s="330" t="s">
        <v>240</v>
      </c>
      <c r="R24" s="331"/>
      <c r="S24" s="332"/>
    </row>
    <row r="25" spans="1:19" ht="12.75" customHeight="1">
      <c r="A25" s="284" t="s">
        <v>150</v>
      </c>
      <c r="B25" s="365">
        <v>7.843553008595989</v>
      </c>
      <c r="C25" s="384">
        <v>1</v>
      </c>
      <c r="D25" s="208"/>
      <c r="E25" s="209"/>
      <c r="F25" s="370" t="s">
        <v>291</v>
      </c>
      <c r="G25" s="370"/>
      <c r="H25" s="207"/>
      <c r="I25" s="209"/>
      <c r="J25" s="208"/>
      <c r="K25" s="209"/>
      <c r="L25" s="209"/>
      <c r="M25" s="209"/>
      <c r="N25" s="213"/>
      <c r="O25" s="299"/>
      <c r="Q25" s="333"/>
      <c r="R25" s="334"/>
      <c r="S25" s="335"/>
    </row>
    <row r="26" spans="1:19" ht="12.75" customHeight="1">
      <c r="A26" s="231" t="s">
        <v>83</v>
      </c>
      <c r="B26" s="382">
        <v>7.770200573065903</v>
      </c>
      <c r="C26" s="383">
        <v>2</v>
      </c>
      <c r="D26" s="208"/>
      <c r="E26" s="209"/>
      <c r="F26" s="208"/>
      <c r="G26" s="209"/>
      <c r="H26" s="207"/>
      <c r="I26" s="209"/>
      <c r="J26" s="208"/>
      <c r="K26" s="209"/>
      <c r="L26" s="209"/>
      <c r="M26" s="209"/>
      <c r="N26" s="213"/>
      <c r="O26" s="299"/>
      <c r="Q26" s="333"/>
      <c r="R26" s="334"/>
      <c r="S26" s="335"/>
    </row>
    <row r="27" spans="1:19" ht="12.75" customHeight="1">
      <c r="A27" s="231" t="s">
        <v>82</v>
      </c>
      <c r="B27" s="230">
        <v>6.914469914040114</v>
      </c>
      <c r="C27" s="232">
        <v>3</v>
      </c>
      <c r="D27" s="208"/>
      <c r="E27" s="209"/>
      <c r="F27" s="208"/>
      <c r="G27" s="209"/>
      <c r="H27" s="207"/>
      <c r="I27" s="209"/>
      <c r="J27" s="208"/>
      <c r="K27" s="209"/>
      <c r="L27" s="209"/>
      <c r="M27" s="209"/>
      <c r="N27" s="213"/>
      <c r="O27" s="299"/>
      <c r="Q27" s="333"/>
      <c r="R27" s="334"/>
      <c r="S27" s="335"/>
    </row>
    <row r="28" spans="1:19" ht="12.75" customHeight="1">
      <c r="A28" s="231" t="s">
        <v>92</v>
      </c>
      <c r="B28" s="230">
        <v>6.55</v>
      </c>
      <c r="C28" s="232">
        <v>4</v>
      </c>
      <c r="F28" s="208"/>
      <c r="Q28" s="333"/>
      <c r="R28" s="334"/>
      <c r="S28" s="335"/>
    </row>
    <row r="29" spans="1:19" ht="12.75" customHeight="1">
      <c r="A29" s="231" t="s">
        <v>96</v>
      </c>
      <c r="B29" s="230">
        <v>5.798710601719198</v>
      </c>
      <c r="C29" s="232">
        <v>5</v>
      </c>
      <c r="F29" s="208"/>
      <c r="Q29" s="333"/>
      <c r="R29" s="334"/>
      <c r="S29" s="335"/>
    </row>
    <row r="30" spans="1:19" ht="12.75" customHeight="1">
      <c r="A30" s="231" t="s">
        <v>88</v>
      </c>
      <c r="B30" s="230">
        <v>4.472636103151863</v>
      </c>
      <c r="C30" s="232">
        <v>6</v>
      </c>
      <c r="F30" s="208"/>
      <c r="Q30" s="333"/>
      <c r="R30" s="334"/>
      <c r="S30" s="335"/>
    </row>
    <row r="31" spans="1:19" ht="12.75" customHeight="1">
      <c r="A31" s="231" t="s">
        <v>154</v>
      </c>
      <c r="B31" s="230">
        <v>4.329942693409743</v>
      </c>
      <c r="C31" s="232">
        <v>7</v>
      </c>
      <c r="F31" s="208"/>
      <c r="Q31" s="333"/>
      <c r="R31" s="334"/>
      <c r="S31" s="335"/>
    </row>
    <row r="32" spans="1:19" ht="12.75" customHeight="1">
      <c r="A32" s="231" t="s">
        <v>86</v>
      </c>
      <c r="B32" s="230">
        <v>4.313180515759313</v>
      </c>
      <c r="C32" s="232">
        <v>8</v>
      </c>
      <c r="F32" s="208"/>
      <c r="Q32" s="333"/>
      <c r="R32" s="334"/>
      <c r="S32" s="335"/>
    </row>
    <row r="33" spans="1:19" ht="12.75" customHeight="1">
      <c r="A33" s="231" t="s">
        <v>282</v>
      </c>
      <c r="B33" s="230">
        <v>4.077363896848137</v>
      </c>
      <c r="C33" s="232">
        <v>9</v>
      </c>
      <c r="F33" s="208"/>
      <c r="Q33" s="333"/>
      <c r="R33" s="334"/>
      <c r="S33" s="335"/>
    </row>
    <row r="34" spans="1:19" ht="12.75" customHeight="1">
      <c r="A34" s="231" t="s">
        <v>283</v>
      </c>
      <c r="B34" s="230">
        <v>4.0746418338108885</v>
      </c>
      <c r="C34" s="232">
        <v>10</v>
      </c>
      <c r="F34" s="208"/>
      <c r="Q34" s="333"/>
      <c r="R34" s="334"/>
      <c r="S34" s="335"/>
    </row>
    <row r="35" spans="1:19" ht="12.75" customHeight="1" thickBot="1">
      <c r="A35" s="233" t="s">
        <v>153</v>
      </c>
      <c r="B35" s="230">
        <v>3.4137535816618914</v>
      </c>
      <c r="C35" s="232">
        <v>11</v>
      </c>
      <c r="F35" s="208"/>
      <c r="Q35" s="336"/>
      <c r="R35" s="337"/>
      <c r="S35" s="338"/>
    </row>
    <row r="36" spans="1:6" ht="12.75" customHeight="1">
      <c r="A36" s="233" t="s">
        <v>98</v>
      </c>
      <c r="B36" s="230">
        <v>3.3777936962750714</v>
      </c>
      <c r="C36" s="232">
        <v>12</v>
      </c>
      <c r="F36" s="208"/>
    </row>
    <row r="37" spans="1:6" ht="12.75" customHeight="1">
      <c r="A37" s="231" t="s">
        <v>151</v>
      </c>
      <c r="B37" s="230">
        <v>3.3611747851002867</v>
      </c>
      <c r="C37" s="232">
        <v>13</v>
      </c>
      <c r="F37" s="208"/>
    </row>
    <row r="38" spans="1:6" ht="12.75" customHeight="1">
      <c r="A38" s="231" t="s">
        <v>152</v>
      </c>
      <c r="B38" s="230">
        <v>3.272063037249284</v>
      </c>
      <c r="C38" s="232">
        <v>14</v>
      </c>
      <c r="F38" s="208"/>
    </row>
    <row r="39" spans="1:6" ht="12.75" customHeight="1">
      <c r="A39" s="231" t="s">
        <v>148</v>
      </c>
      <c r="B39" s="230">
        <v>2.8412607449856733</v>
      </c>
      <c r="C39" s="232">
        <v>15</v>
      </c>
      <c r="F39" s="208"/>
    </row>
    <row r="40" spans="1:6" ht="12.75" customHeight="1">
      <c r="A40" s="234" t="s">
        <v>141</v>
      </c>
      <c r="B40" s="230">
        <v>2.815759312320917</v>
      </c>
      <c r="C40" s="232">
        <v>16</v>
      </c>
      <c r="F40" s="208"/>
    </row>
    <row r="41" spans="1:6" ht="13.5" thickBot="1">
      <c r="A41" s="235" t="s">
        <v>155</v>
      </c>
      <c r="B41" s="236">
        <v>2.084527220630372</v>
      </c>
      <c r="C41" s="237">
        <v>17</v>
      </c>
      <c r="F41" s="208"/>
    </row>
    <row r="42" spans="1:3" ht="12.75">
      <c r="A42" s="73"/>
      <c r="B42" s="219"/>
      <c r="C42" s="189"/>
    </row>
    <row r="43" spans="1:3" ht="12.75">
      <c r="A43" s="73"/>
      <c r="B43" s="219"/>
      <c r="C43" s="189"/>
    </row>
    <row r="44" spans="1:3" ht="12.75">
      <c r="A44" s="73"/>
      <c r="B44" s="219"/>
      <c r="C44" s="189"/>
    </row>
    <row r="45" spans="1:3" ht="12.75">
      <c r="A45" s="73"/>
      <c r="B45" s="219"/>
      <c r="C45" s="189"/>
    </row>
    <row r="46" spans="1:3" ht="12.75">
      <c r="A46" s="73"/>
      <c r="B46" s="219"/>
      <c r="C46" s="189"/>
    </row>
    <row r="47" spans="1:3" ht="12.75">
      <c r="A47" s="73"/>
      <c r="B47" s="219"/>
      <c r="C47" s="189"/>
    </row>
    <row r="48" spans="1:3" ht="12.75">
      <c r="A48" s="73"/>
      <c r="B48" s="219"/>
      <c r="C48" s="189"/>
    </row>
    <row r="49" spans="1:3" ht="12.75">
      <c r="A49" s="73"/>
      <c r="B49" s="219"/>
      <c r="C49" s="189"/>
    </row>
    <row r="50" spans="1:3" ht="12.75">
      <c r="A50" s="73"/>
      <c r="B50" s="219"/>
      <c r="C50" s="73"/>
    </row>
  </sheetData>
  <mergeCells count="7">
    <mergeCell ref="P4:P5"/>
    <mergeCell ref="R4:R6"/>
    <mergeCell ref="B5:O5"/>
    <mergeCell ref="R7:R10"/>
    <mergeCell ref="F24:G24"/>
    <mergeCell ref="F25:G25"/>
    <mergeCell ref="Q24:S35"/>
  </mergeCells>
  <printOptions horizontalCentered="1" verticalCentered="1"/>
  <pageMargins left="0.39" right="0.21" top="0.52" bottom="0.48" header="0.5" footer="0.5"/>
  <pageSetup fitToHeight="1" fitToWidth="1" horizontalDpi="300" verticalDpi="300" orientation="portrait" r:id="rId1"/>
  <headerFooter alignWithMargins="0">
    <oddFooter>&amp;C&amp;D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C49"/>
  <sheetViews>
    <sheetView workbookViewId="0" topLeftCell="A1">
      <selection activeCell="C49" sqref="C49"/>
    </sheetView>
  </sheetViews>
  <sheetFormatPr defaultColWidth="9.140625" defaultRowHeight="12.75"/>
  <cols>
    <col min="1" max="1" width="29.421875" style="0" customWidth="1"/>
    <col min="2" max="2" width="32.00390625" style="0" customWidth="1"/>
    <col min="3" max="3" width="37.8515625" style="0" customWidth="1"/>
  </cols>
  <sheetData>
    <row r="2" spans="1:2" ht="12.75">
      <c r="A2" s="285" t="s">
        <v>257</v>
      </c>
      <c r="B2" s="285"/>
    </row>
    <row r="5" spans="1:3" ht="12.75">
      <c r="A5" t="s">
        <v>258</v>
      </c>
      <c r="B5" t="s">
        <v>286</v>
      </c>
      <c r="C5" t="s">
        <v>297</v>
      </c>
    </row>
    <row r="7" spans="1:3" ht="12.75">
      <c r="A7" t="s">
        <v>260</v>
      </c>
      <c r="B7" t="s">
        <v>299</v>
      </c>
      <c r="C7" t="s">
        <v>296</v>
      </c>
    </row>
    <row r="9" spans="1:3" ht="12.75">
      <c r="A9" t="s">
        <v>261</v>
      </c>
      <c r="B9" t="s">
        <v>300</v>
      </c>
      <c r="C9" t="s">
        <v>298</v>
      </c>
    </row>
    <row r="11" spans="1:3" ht="12.75">
      <c r="A11" t="s">
        <v>262</v>
      </c>
      <c r="B11" t="s">
        <v>299</v>
      </c>
      <c r="C11" t="s">
        <v>296</v>
      </c>
    </row>
    <row r="13" spans="1:3" ht="38.25">
      <c r="A13" s="74" t="s">
        <v>263</v>
      </c>
      <c r="B13" t="s">
        <v>287</v>
      </c>
      <c r="C13" t="s">
        <v>297</v>
      </c>
    </row>
    <row r="15" spans="1:3" ht="12.75">
      <c r="A15" t="s">
        <v>264</v>
      </c>
      <c r="B15" t="s">
        <v>288</v>
      </c>
      <c r="C15" t="s">
        <v>301</v>
      </c>
    </row>
    <row r="17" spans="1:3" ht="12.75">
      <c r="A17" t="s">
        <v>265</v>
      </c>
      <c r="B17" t="s">
        <v>287</v>
      </c>
      <c r="C17" t="s">
        <v>301</v>
      </c>
    </row>
    <row r="19" ht="12.75">
      <c r="A19" t="s">
        <v>266</v>
      </c>
    </row>
    <row r="21" spans="1:2" ht="12.75">
      <c r="A21" t="s">
        <v>267</v>
      </c>
      <c r="B21" t="s">
        <v>292</v>
      </c>
    </row>
    <row r="23" spans="1:2" ht="12.75">
      <c r="A23" t="s">
        <v>268</v>
      </c>
      <c r="B23" t="s">
        <v>293</v>
      </c>
    </row>
    <row r="25" spans="1:3" ht="12.75">
      <c r="A25" t="s">
        <v>269</v>
      </c>
      <c r="B25" t="s">
        <v>259</v>
      </c>
      <c r="C25" t="s">
        <v>259</v>
      </c>
    </row>
    <row r="27" spans="1:2" ht="12.75">
      <c r="A27" t="s">
        <v>270</v>
      </c>
      <c r="B27" t="s">
        <v>294</v>
      </c>
    </row>
    <row r="29" spans="1:3" ht="12.75">
      <c r="A29" t="s">
        <v>271</v>
      </c>
      <c r="B29" t="s">
        <v>259</v>
      </c>
      <c r="C29" t="s">
        <v>259</v>
      </c>
    </row>
    <row r="31" spans="1:3" ht="12.75">
      <c r="A31" t="s">
        <v>272</v>
      </c>
      <c r="B31" t="s">
        <v>302</v>
      </c>
      <c r="C31" t="s">
        <v>259</v>
      </c>
    </row>
    <row r="33" spans="1:3" ht="12.75">
      <c r="A33" t="s">
        <v>273</v>
      </c>
      <c r="B33" t="s">
        <v>289</v>
      </c>
      <c r="C33" t="s">
        <v>305</v>
      </c>
    </row>
    <row r="35" spans="1:3" ht="12.75">
      <c r="A35" t="s">
        <v>274</v>
      </c>
      <c r="B35" t="s">
        <v>288</v>
      </c>
      <c r="C35" t="s">
        <v>306</v>
      </c>
    </row>
    <row r="37" ht="12.75">
      <c r="A37" t="s">
        <v>275</v>
      </c>
    </row>
    <row r="39" spans="1:3" ht="38.25">
      <c r="A39" s="74" t="s">
        <v>276</v>
      </c>
      <c r="B39" t="s">
        <v>303</v>
      </c>
      <c r="C39" t="s">
        <v>304</v>
      </c>
    </row>
    <row r="40" ht="12.75">
      <c r="A40" t="s">
        <v>277</v>
      </c>
    </row>
    <row r="41" spans="1:3" ht="12.75">
      <c r="A41" t="s">
        <v>278</v>
      </c>
      <c r="B41" t="s">
        <v>310</v>
      </c>
      <c r="C41" t="s">
        <v>309</v>
      </c>
    </row>
    <row r="43" spans="2:3" ht="12.75">
      <c r="B43" t="s">
        <v>307</v>
      </c>
      <c r="C43" t="s">
        <v>308</v>
      </c>
    </row>
    <row r="45" spans="1:3" ht="12.75">
      <c r="A45" t="s">
        <v>279</v>
      </c>
      <c r="B45" t="s">
        <v>288</v>
      </c>
      <c r="C45" t="s">
        <v>295</v>
      </c>
    </row>
    <row r="47" spans="2:3" ht="12.75">
      <c r="B47" t="s">
        <v>311</v>
      </c>
      <c r="C47" t="s">
        <v>312</v>
      </c>
    </row>
    <row r="49" spans="2:3" ht="12.75">
      <c r="B49" t="s">
        <v>313</v>
      </c>
      <c r="C49" t="s">
        <v>314</v>
      </c>
    </row>
  </sheetData>
  <printOptions/>
  <pageMargins left="0.75" right="0.75" top="1" bottom="1" header="0.5" footer="0.5"/>
  <pageSetup fitToHeight="1" fitToWidth="1" horizontalDpi="300" verticalDpi="300" orientation="portrait" scale="91" r:id="rId1"/>
  <headerFooter alignWithMargins="0">
    <oddHeader>&amp;C&amp;"Arial,Bold"&amp;20Los Altos FLL Local Competiton
November 20, 2004</oddHeader>
    <oddFooter>&amp;L&amp;D&amp;R&amp;F:"&amp;A"</oddFooter>
  </headerFooter>
</worksheet>
</file>

<file path=xl/worksheets/sheet8.xml><?xml version="1.0" encoding="utf-8"?>
<worksheet xmlns="http://schemas.openxmlformats.org/spreadsheetml/2006/main" xmlns:r="http://schemas.openxmlformats.org/officeDocument/2006/relationships">
  <sheetPr codeName="Sheet12"/>
  <dimension ref="A1:C20"/>
  <sheetViews>
    <sheetView workbookViewId="0" topLeftCell="A1">
      <selection activeCell="A1" sqref="A1:C1"/>
    </sheetView>
  </sheetViews>
  <sheetFormatPr defaultColWidth="9.140625" defaultRowHeight="12.75"/>
  <cols>
    <col min="1" max="1" width="9.140625" style="73" customWidth="1"/>
    <col min="2" max="2" width="38.7109375" style="73" customWidth="1"/>
    <col min="3" max="3" width="26.57421875" style="73" customWidth="1"/>
  </cols>
  <sheetData>
    <row r="1" spans="1:3" ht="24" thickBot="1">
      <c r="A1" s="348" t="s">
        <v>243</v>
      </c>
      <c r="B1" s="349"/>
      <c r="C1" s="350"/>
    </row>
    <row r="2" spans="1:3" ht="92.25" customHeight="1" thickBot="1">
      <c r="A2" s="268"/>
      <c r="B2" s="264" t="s">
        <v>244</v>
      </c>
      <c r="C2" s="283" t="s">
        <v>245</v>
      </c>
    </row>
    <row r="3" spans="1:3" ht="21" thickBot="1">
      <c r="A3" s="269" t="s">
        <v>50</v>
      </c>
      <c r="B3" s="267" t="s">
        <v>51</v>
      </c>
      <c r="C3" s="267" t="s">
        <v>51</v>
      </c>
    </row>
    <row r="4" spans="1:3" ht="18">
      <c r="A4" s="270">
        <v>0.06597222222222222</v>
      </c>
      <c r="B4" s="164" t="str">
        <f>Team16</f>
        <v>Catbot 2000</v>
      </c>
      <c r="C4" s="165" t="str">
        <f>Team11</f>
        <v>CyberDisks</v>
      </c>
    </row>
    <row r="5" spans="1:3" ht="18">
      <c r="A5" s="271">
        <v>0.07291666666666667</v>
      </c>
      <c r="B5" s="145" t="str">
        <f>Team2</f>
        <v>Electric Pussycat</v>
      </c>
      <c r="C5" s="156" t="str">
        <f>Team1</f>
        <v>Mechanical Monkeys</v>
      </c>
    </row>
    <row r="6" spans="1:3" ht="18">
      <c r="A6" s="271">
        <v>0.0798611111111111</v>
      </c>
      <c r="B6" s="145" t="str">
        <f>Team4</f>
        <v>Army of Six</v>
      </c>
      <c r="C6" s="156" t="str">
        <f>Team5</f>
        <v>TheraBots</v>
      </c>
    </row>
    <row r="7" spans="1:3" ht="18">
      <c r="A7" s="271">
        <v>0.0868055555555555</v>
      </c>
      <c r="B7" s="145" t="str">
        <f>Team9</f>
        <v>RoboPups</v>
      </c>
      <c r="C7" s="156" t="str">
        <f>Team8</f>
        <v>Roboraiders</v>
      </c>
    </row>
    <row r="8" spans="1:3" ht="18">
      <c r="A8" s="271">
        <v>0.09375</v>
      </c>
      <c r="B8" s="145" t="str">
        <f>Team12</f>
        <v>Lego Legends</v>
      </c>
      <c r="C8" s="156" t="str">
        <f>Team13</f>
        <v>Rocking Robotics</v>
      </c>
    </row>
    <row r="9" spans="1:3" ht="18">
      <c r="A9" s="271">
        <v>0.100694444444444</v>
      </c>
      <c r="B9" s="145" t="str">
        <f>Team1</f>
        <v>Mechanical Monkeys</v>
      </c>
      <c r="C9" s="156" t="str">
        <f>Team15</f>
        <v>DogBots</v>
      </c>
    </row>
    <row r="10" spans="1:3" ht="18">
      <c r="A10" s="271">
        <v>0.107638888888889</v>
      </c>
      <c r="B10" s="145" t="str">
        <f>Team3</f>
        <v>Team Taffy</v>
      </c>
      <c r="C10" s="156" t="str">
        <f>Team16</f>
        <v>Catbot 2000</v>
      </c>
    </row>
    <row r="11" spans="1:3" ht="18">
      <c r="A11" s="271">
        <v>0.114583333333333</v>
      </c>
      <c r="B11" s="145" t="str">
        <f>Team8</f>
        <v>Roboraiders</v>
      </c>
      <c r="C11" s="156" t="str">
        <f>Team6</f>
        <v>RoboFreaks</v>
      </c>
    </row>
    <row r="12" spans="1:3" ht="18">
      <c r="A12" s="271">
        <v>0.12569444444444444</v>
      </c>
      <c r="B12" s="145" t="str">
        <f>Team14</f>
        <v>Happy Hippos</v>
      </c>
      <c r="C12" s="156" t="str">
        <f>Team12</f>
        <v>Lego Legends</v>
      </c>
    </row>
    <row r="13" spans="1:3" ht="18">
      <c r="A13" s="271">
        <v>0.13125</v>
      </c>
      <c r="B13" s="145" t="str">
        <f>Team15</f>
        <v>DogBots</v>
      </c>
      <c r="C13" s="156" t="str">
        <f>Team17</f>
        <v>TigerBots</v>
      </c>
    </row>
    <row r="14" spans="1:3" ht="18">
      <c r="A14" s="271">
        <v>0.136805555555556</v>
      </c>
      <c r="B14" s="145" t="str">
        <f>Team5</f>
        <v>TheraBots</v>
      </c>
      <c r="C14" s="156" t="str">
        <f>Team4</f>
        <v>Army of Six</v>
      </c>
    </row>
    <row r="15" spans="1:3" ht="18">
      <c r="A15" s="271">
        <v>0.142361111111111</v>
      </c>
      <c r="B15" s="145" t="str">
        <f>Team10</f>
        <v>Battery-powered Legomen</v>
      </c>
      <c r="C15" s="156" t="str">
        <f>Team7</f>
        <v>CyberBots</v>
      </c>
    </row>
    <row r="16" spans="1:3" ht="18">
      <c r="A16" s="271">
        <v>0.147916666666667</v>
      </c>
      <c r="B16" s="145" t="str">
        <f>Team11</f>
        <v>CyberDisks</v>
      </c>
      <c r="C16" s="156" t="str">
        <f>Team2</f>
        <v>Electric Pussycat</v>
      </c>
    </row>
    <row r="17" spans="1:3" ht="18">
      <c r="A17" s="271">
        <v>0.153472222222222</v>
      </c>
      <c r="B17" s="145" t="str">
        <f>Team17</f>
        <v>TigerBots</v>
      </c>
      <c r="C17" s="156" t="str">
        <f>Team14</f>
        <v>Happy Hippos</v>
      </c>
    </row>
    <row r="18" spans="1:3" ht="18">
      <c r="A18" s="271">
        <v>0.159027777777778</v>
      </c>
      <c r="B18" s="145" t="str">
        <f>Team7</f>
        <v>CyberBots</v>
      </c>
      <c r="C18" s="156" t="str">
        <f>Team3</f>
        <v>Team Taffy</v>
      </c>
    </row>
    <row r="19" spans="1:3" ht="18">
      <c r="A19" s="271">
        <v>0.164583333333333</v>
      </c>
      <c r="B19" s="145" t="str">
        <f>Team6</f>
        <v>RoboFreaks</v>
      </c>
      <c r="C19" s="156" t="str">
        <f>Team9</f>
        <v>RoboPups</v>
      </c>
    </row>
    <row r="20" spans="1:3" ht="18.75" thickBot="1">
      <c r="A20" s="272">
        <v>0.170138888888889</v>
      </c>
      <c r="B20" s="160" t="str">
        <f>Team13</f>
        <v>Rocking Robotics</v>
      </c>
      <c r="C20" s="163" t="str">
        <f>Team10</f>
        <v>Battery-powered Legomen</v>
      </c>
    </row>
  </sheetData>
  <mergeCells count="1">
    <mergeCell ref="A1:C1"/>
  </mergeCells>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AN23"/>
  <sheetViews>
    <sheetView zoomScale="85" zoomScaleNormal="85" workbookViewId="0" topLeftCell="A1">
      <selection activeCell="A1" sqref="A1"/>
    </sheetView>
  </sheetViews>
  <sheetFormatPr defaultColWidth="9.140625" defaultRowHeight="12.75"/>
  <cols>
    <col min="1" max="1" width="4.421875" style="73" customWidth="1"/>
    <col min="2" max="2" width="4.28125" style="73" customWidth="1"/>
    <col min="3" max="3" width="4.8515625" style="0" customWidth="1"/>
    <col min="4" max="38" width="4.421875" style="0" customWidth="1"/>
    <col min="39" max="39" width="5.00390625" style="0" customWidth="1"/>
    <col min="40" max="40" width="5.421875" style="0" customWidth="1"/>
  </cols>
  <sheetData>
    <row r="1" spans="1:40" ht="12.75">
      <c r="A1" s="145"/>
      <c r="B1" s="145"/>
      <c r="C1" s="273"/>
      <c r="D1" s="274">
        <v>0.06597222222222222</v>
      </c>
      <c r="E1" s="274">
        <v>0.06944444444444443</v>
      </c>
      <c r="F1" s="274">
        <v>0.0729166666666666</v>
      </c>
      <c r="G1" s="274">
        <v>0.0763888888888888</v>
      </c>
      <c r="H1" s="274">
        <v>0.079861111111111</v>
      </c>
      <c r="I1" s="274">
        <v>0.0833333333333332</v>
      </c>
      <c r="J1" s="274">
        <v>0.0868055555555555</v>
      </c>
      <c r="K1" s="274">
        <v>0.0902777777777777</v>
      </c>
      <c r="L1" s="274">
        <v>0.0937499999999999</v>
      </c>
      <c r="M1" s="274">
        <v>0.0972222222222221</v>
      </c>
      <c r="N1" s="274">
        <v>0.100694444444444</v>
      </c>
      <c r="O1" s="274">
        <v>0.104166666666667</v>
      </c>
      <c r="P1" s="274">
        <v>0.107638888888889</v>
      </c>
      <c r="Q1" s="274">
        <v>0.111111111111111</v>
      </c>
      <c r="R1" s="274">
        <v>0.114583333333333</v>
      </c>
      <c r="S1" s="274">
        <v>0.118055555555555</v>
      </c>
      <c r="T1" s="274">
        <v>0.121527777777778</v>
      </c>
      <c r="U1" s="274">
        <v>0.12569444444444444</v>
      </c>
      <c r="V1" s="274">
        <v>0.12847222222222224</v>
      </c>
      <c r="W1" s="274">
        <v>0.13125</v>
      </c>
      <c r="X1" s="274">
        <v>0.134027777777778</v>
      </c>
      <c r="Y1" s="274">
        <v>0.136805555555556</v>
      </c>
      <c r="Z1" s="274">
        <v>0.139583333333333</v>
      </c>
      <c r="AA1" s="274">
        <v>0.142361111111111</v>
      </c>
      <c r="AB1" s="274">
        <v>0.145138888888889</v>
      </c>
      <c r="AC1" s="274">
        <v>0.147916666666667</v>
      </c>
      <c r="AD1" s="274">
        <v>0.150694444444444</v>
      </c>
      <c r="AE1" s="274">
        <v>0.153472222222222</v>
      </c>
      <c r="AF1" s="274">
        <v>0.15625</v>
      </c>
      <c r="AG1" s="274">
        <v>0.159027777777778</v>
      </c>
      <c r="AH1" s="274">
        <v>0.161805555555555</v>
      </c>
      <c r="AI1" s="274">
        <v>0.164583333333333</v>
      </c>
      <c r="AJ1" s="274">
        <v>0.167361111111111</v>
      </c>
      <c r="AK1" s="274">
        <v>0.170138888888889</v>
      </c>
      <c r="AL1" s="274">
        <v>0.172916666666667</v>
      </c>
      <c r="AM1" s="275"/>
      <c r="AN1" s="275"/>
    </row>
    <row r="2" spans="1:40" ht="12.75">
      <c r="A2" s="145">
        <f>COUNTIF(D2:AL2,"P")/2</f>
        <v>1</v>
      </c>
      <c r="B2" s="276">
        <f aca="true" t="shared" si="0" ref="B2:B18">COUNTIF(D2:AL2,"j1")</f>
        <v>5</v>
      </c>
      <c r="C2" s="273">
        <v>1</v>
      </c>
      <c r="D2" s="277" t="s">
        <v>247</v>
      </c>
      <c r="E2" s="145"/>
      <c r="F2" s="278" t="s">
        <v>248</v>
      </c>
      <c r="G2" s="278" t="s">
        <v>248</v>
      </c>
      <c r="H2" s="145"/>
      <c r="I2" s="145"/>
      <c r="J2" s="145"/>
      <c r="K2" s="145"/>
      <c r="L2" s="279" t="s">
        <v>249</v>
      </c>
      <c r="M2" s="275"/>
      <c r="N2" s="276" t="s">
        <v>250</v>
      </c>
      <c r="O2" s="276" t="s">
        <v>250</v>
      </c>
      <c r="P2" s="276" t="s">
        <v>251</v>
      </c>
      <c r="Q2" s="276" t="s">
        <v>251</v>
      </c>
      <c r="R2" s="145"/>
      <c r="S2" s="145"/>
      <c r="T2" s="145"/>
      <c r="U2" s="145"/>
      <c r="V2" s="147" t="s">
        <v>252</v>
      </c>
      <c r="W2" s="150"/>
      <c r="X2" s="145"/>
      <c r="Y2" s="145"/>
      <c r="Z2" s="145"/>
      <c r="AA2" s="145"/>
      <c r="AB2" s="145"/>
      <c r="AC2" s="145"/>
      <c r="AD2" s="280" t="s">
        <v>253</v>
      </c>
      <c r="AE2" s="145"/>
      <c r="AF2" s="145"/>
      <c r="AG2" s="281" t="s">
        <v>250</v>
      </c>
      <c r="AH2" s="145"/>
      <c r="AI2" s="281" t="s">
        <v>250</v>
      </c>
      <c r="AJ2" s="145"/>
      <c r="AK2" s="281" t="s">
        <v>250</v>
      </c>
      <c r="AL2" s="145"/>
      <c r="AM2" s="275">
        <f>B2</f>
        <v>5</v>
      </c>
      <c r="AN2" s="275"/>
    </row>
    <row r="3" spans="1:40" ht="12.75">
      <c r="A3" s="145">
        <f aca="true" t="shared" si="1" ref="A3:A18">COUNTIF(D3:AL3,"P")/2</f>
        <v>1</v>
      </c>
      <c r="B3" s="276">
        <f t="shared" si="0"/>
        <v>4</v>
      </c>
      <c r="C3" s="273">
        <v>2</v>
      </c>
      <c r="D3" s="277" t="s">
        <v>247</v>
      </c>
      <c r="E3" s="145"/>
      <c r="F3" s="276" t="s">
        <v>250</v>
      </c>
      <c r="G3" s="276" t="s">
        <v>250</v>
      </c>
      <c r="H3" s="276" t="s">
        <v>251</v>
      </c>
      <c r="I3" s="276" t="s">
        <v>251</v>
      </c>
      <c r="J3" s="145"/>
      <c r="K3" s="145"/>
      <c r="L3" s="145"/>
      <c r="M3" s="279" t="s">
        <v>249</v>
      </c>
      <c r="N3" s="275"/>
      <c r="O3" s="145"/>
      <c r="P3" s="275"/>
      <c r="Q3" s="275"/>
      <c r="R3" s="275"/>
      <c r="S3" s="275"/>
      <c r="T3" s="145"/>
      <c r="U3" s="145"/>
      <c r="V3" s="145"/>
      <c r="W3" s="147" t="s">
        <v>252</v>
      </c>
      <c r="X3" s="145"/>
      <c r="Y3" s="281" t="s">
        <v>250</v>
      </c>
      <c r="Z3" s="145"/>
      <c r="AA3" s="145"/>
      <c r="AB3" s="145"/>
      <c r="AC3" s="278" t="s">
        <v>248</v>
      </c>
      <c r="AD3" s="278" t="s">
        <v>248</v>
      </c>
      <c r="AE3" s="281" t="s">
        <v>250</v>
      </c>
      <c r="AF3" s="145"/>
      <c r="AG3" s="145"/>
      <c r="AH3" s="145"/>
      <c r="AI3" s="145"/>
      <c r="AJ3" s="145"/>
      <c r="AK3" s="280" t="s">
        <v>253</v>
      </c>
      <c r="AL3" s="145"/>
      <c r="AM3" s="275">
        <f>B3</f>
        <v>4</v>
      </c>
      <c r="AN3" s="275"/>
    </row>
    <row r="4" spans="1:40" ht="12.75">
      <c r="A4" s="145">
        <f t="shared" si="1"/>
        <v>1</v>
      </c>
      <c r="B4" s="276">
        <f t="shared" si="0"/>
        <v>3</v>
      </c>
      <c r="C4" s="273">
        <v>3</v>
      </c>
      <c r="D4" s="145"/>
      <c r="E4" s="277" t="s">
        <v>247</v>
      </c>
      <c r="F4" s="145"/>
      <c r="G4" s="145"/>
      <c r="H4" s="145"/>
      <c r="I4" s="145"/>
      <c r="J4" s="145"/>
      <c r="K4" s="145"/>
      <c r="L4" s="145"/>
      <c r="M4" s="279" t="s">
        <v>249</v>
      </c>
      <c r="N4" s="275"/>
      <c r="O4" s="145"/>
      <c r="P4" s="276" t="s">
        <v>250</v>
      </c>
      <c r="Q4" s="276" t="s">
        <v>250</v>
      </c>
      <c r="R4" s="276" t="s">
        <v>251</v>
      </c>
      <c r="S4" s="276" t="s">
        <v>251</v>
      </c>
      <c r="T4" s="145"/>
      <c r="U4" s="145"/>
      <c r="V4" s="145"/>
      <c r="W4" s="145"/>
      <c r="X4" s="147" t="s">
        <v>252</v>
      </c>
      <c r="Y4" s="145"/>
      <c r="Z4" s="145"/>
      <c r="AA4" s="275"/>
      <c r="AB4" s="275"/>
      <c r="AC4" s="275"/>
      <c r="AD4" s="275"/>
      <c r="AE4" s="281" t="s">
        <v>250</v>
      </c>
      <c r="AF4" s="145"/>
      <c r="AG4" s="278" t="s">
        <v>248</v>
      </c>
      <c r="AH4" s="278" t="s">
        <v>248</v>
      </c>
      <c r="AI4" s="145"/>
      <c r="AJ4" s="145"/>
      <c r="AK4" s="145"/>
      <c r="AL4" s="280" t="s">
        <v>253</v>
      </c>
      <c r="AM4" s="275">
        <f>B4</f>
        <v>3</v>
      </c>
      <c r="AN4" s="275"/>
    </row>
    <row r="5" spans="1:40" ht="12.75">
      <c r="A5" s="145">
        <f t="shared" si="1"/>
        <v>1</v>
      </c>
      <c r="B5" s="276">
        <f t="shared" si="0"/>
        <v>6</v>
      </c>
      <c r="C5" s="273">
        <v>4</v>
      </c>
      <c r="D5" s="145"/>
      <c r="E5" s="277" t="s">
        <v>247</v>
      </c>
      <c r="F5" s="145"/>
      <c r="G5" s="145"/>
      <c r="H5" s="276" t="s">
        <v>250</v>
      </c>
      <c r="I5" s="276" t="s">
        <v>250</v>
      </c>
      <c r="J5" s="276" t="s">
        <v>251</v>
      </c>
      <c r="K5" s="276" t="s">
        <v>251</v>
      </c>
      <c r="L5" s="145"/>
      <c r="M5" s="145"/>
      <c r="N5" s="279" t="s">
        <v>249</v>
      </c>
      <c r="O5" s="275"/>
      <c r="P5" s="281" t="s">
        <v>250</v>
      </c>
      <c r="Q5" s="275"/>
      <c r="R5" s="275"/>
      <c r="S5" s="275"/>
      <c r="T5" s="145"/>
      <c r="U5" s="145"/>
      <c r="V5" s="147" t="s">
        <v>252</v>
      </c>
      <c r="W5" s="145"/>
      <c r="X5" s="145"/>
      <c r="Y5" s="278" t="s">
        <v>248</v>
      </c>
      <c r="Z5" s="278" t="s">
        <v>248</v>
      </c>
      <c r="AA5" s="145"/>
      <c r="AB5" s="145"/>
      <c r="AC5" s="145"/>
      <c r="AD5" s="145"/>
      <c r="AE5" s="280" t="s">
        <v>253</v>
      </c>
      <c r="AF5" s="145"/>
      <c r="AG5" s="281" t="s">
        <v>250</v>
      </c>
      <c r="AH5" s="145"/>
      <c r="AI5" s="281" t="s">
        <v>250</v>
      </c>
      <c r="AJ5" s="145"/>
      <c r="AK5" s="281" t="s">
        <v>250</v>
      </c>
      <c r="AL5" s="145"/>
      <c r="AM5" s="275">
        <f>B5</f>
        <v>6</v>
      </c>
      <c r="AN5" s="275"/>
    </row>
    <row r="6" spans="1:40" ht="12.75">
      <c r="A6" s="145">
        <f t="shared" si="1"/>
        <v>1</v>
      </c>
      <c r="B6" s="276">
        <f t="shared" si="0"/>
        <v>5</v>
      </c>
      <c r="C6" s="273">
        <v>5</v>
      </c>
      <c r="D6" s="145"/>
      <c r="E6" s="145"/>
      <c r="F6" s="277" t="s">
        <v>247</v>
      </c>
      <c r="G6" s="145"/>
      <c r="H6" s="278" t="s">
        <v>248</v>
      </c>
      <c r="I6" s="278" t="s">
        <v>248</v>
      </c>
      <c r="J6" s="145"/>
      <c r="K6" s="145"/>
      <c r="L6" s="145"/>
      <c r="M6" s="145"/>
      <c r="N6" s="279" t="s">
        <v>249</v>
      </c>
      <c r="O6" s="275"/>
      <c r="P6" s="281" t="s">
        <v>250</v>
      </c>
      <c r="Q6" s="145"/>
      <c r="R6" s="145"/>
      <c r="S6" s="145"/>
      <c r="T6" s="145"/>
      <c r="U6" s="145"/>
      <c r="V6" s="145"/>
      <c r="W6" s="147" t="s">
        <v>252</v>
      </c>
      <c r="X6" s="145"/>
      <c r="Y6" s="276" t="s">
        <v>250</v>
      </c>
      <c r="Z6" s="276" t="s">
        <v>250</v>
      </c>
      <c r="AA6" s="276" t="s">
        <v>251</v>
      </c>
      <c r="AB6" s="276" t="s">
        <v>251</v>
      </c>
      <c r="AC6" s="145"/>
      <c r="AD6" s="145"/>
      <c r="AE6" s="145"/>
      <c r="AF6" s="280" t="s">
        <v>253</v>
      </c>
      <c r="AG6" s="145"/>
      <c r="AH6" s="145"/>
      <c r="AI6" s="281" t="s">
        <v>250</v>
      </c>
      <c r="AJ6" s="145"/>
      <c r="AK6" s="281" t="s">
        <v>250</v>
      </c>
      <c r="AL6" s="145"/>
      <c r="AM6" s="275">
        <f>B6</f>
        <v>5</v>
      </c>
      <c r="AN6" s="275"/>
    </row>
    <row r="7" spans="1:40" ht="12.75">
      <c r="A7" s="145">
        <f t="shared" si="1"/>
        <v>1</v>
      </c>
      <c r="B7" s="276">
        <f t="shared" si="0"/>
        <v>3</v>
      </c>
      <c r="C7" s="273">
        <v>6</v>
      </c>
      <c r="D7" s="145"/>
      <c r="E7" s="145"/>
      <c r="F7" s="277" t="s">
        <v>247</v>
      </c>
      <c r="G7" s="145"/>
      <c r="H7" s="145"/>
      <c r="I7" s="145"/>
      <c r="J7" s="145"/>
      <c r="K7" s="145"/>
      <c r="L7" s="145"/>
      <c r="M7" s="145"/>
      <c r="N7" s="145"/>
      <c r="O7" s="279" t="s">
        <v>249</v>
      </c>
      <c r="P7" s="145"/>
      <c r="Q7" s="275"/>
      <c r="R7" s="278" t="s">
        <v>248</v>
      </c>
      <c r="S7" s="278" t="s">
        <v>248</v>
      </c>
      <c r="T7" s="145"/>
      <c r="U7" s="145"/>
      <c r="V7" s="145"/>
      <c r="W7" s="145"/>
      <c r="X7" s="147" t="s">
        <v>252</v>
      </c>
      <c r="Y7" s="145"/>
      <c r="Z7" s="145"/>
      <c r="AA7" s="281" t="s">
        <v>250</v>
      </c>
      <c r="AB7" s="145"/>
      <c r="AC7" s="145"/>
      <c r="AD7" s="145"/>
      <c r="AE7" s="145"/>
      <c r="AF7" s="145"/>
      <c r="AG7" s="280" t="s">
        <v>253</v>
      </c>
      <c r="AH7" s="145"/>
      <c r="AI7" s="276" t="s">
        <v>250</v>
      </c>
      <c r="AJ7" s="276" t="s">
        <v>250</v>
      </c>
      <c r="AK7" s="276" t="s">
        <v>251</v>
      </c>
      <c r="AL7" s="276" t="s">
        <v>251</v>
      </c>
      <c r="AM7" s="145"/>
      <c r="AN7" s="145"/>
    </row>
    <row r="8" spans="1:40" ht="12.75">
      <c r="A8" s="145">
        <f t="shared" si="1"/>
        <v>1</v>
      </c>
      <c r="B8" s="276">
        <f t="shared" si="0"/>
        <v>4</v>
      </c>
      <c r="C8" s="273">
        <v>7</v>
      </c>
      <c r="D8" s="145"/>
      <c r="E8" s="145"/>
      <c r="F8" s="145"/>
      <c r="G8" s="277" t="s">
        <v>247</v>
      </c>
      <c r="H8" s="145"/>
      <c r="I8" s="145"/>
      <c r="J8" s="145"/>
      <c r="K8" s="145"/>
      <c r="L8" s="145"/>
      <c r="M8" s="145"/>
      <c r="N8" s="145"/>
      <c r="O8" s="279" t="s">
        <v>249</v>
      </c>
      <c r="P8" s="145"/>
      <c r="Q8" s="275"/>
      <c r="R8" s="281" t="s">
        <v>250</v>
      </c>
      <c r="S8" s="275"/>
      <c r="T8" s="275"/>
      <c r="U8" s="145"/>
      <c r="V8" s="145"/>
      <c r="W8" s="145"/>
      <c r="X8" s="145"/>
      <c r="Y8" s="147" t="s">
        <v>252</v>
      </c>
      <c r="Z8" s="145"/>
      <c r="AA8" s="278" t="s">
        <v>248</v>
      </c>
      <c r="AB8" s="278" t="s">
        <v>248</v>
      </c>
      <c r="AC8" s="145"/>
      <c r="AD8" s="145"/>
      <c r="AE8" s="280" t="s">
        <v>253</v>
      </c>
      <c r="AF8" s="145"/>
      <c r="AG8" s="276" t="s">
        <v>250</v>
      </c>
      <c r="AH8" s="276" t="s">
        <v>250</v>
      </c>
      <c r="AI8" s="276" t="s">
        <v>251</v>
      </c>
      <c r="AJ8" s="276" t="s">
        <v>251</v>
      </c>
      <c r="AK8" s="281" t="s">
        <v>250</v>
      </c>
      <c r="AL8" s="145"/>
      <c r="AM8" s="275">
        <f>B8</f>
        <v>4</v>
      </c>
      <c r="AN8" s="275"/>
    </row>
    <row r="9" spans="1:40" ht="12.75">
      <c r="A9" s="145">
        <f t="shared" si="1"/>
        <v>1</v>
      </c>
      <c r="B9" s="276">
        <f t="shared" si="0"/>
        <v>4</v>
      </c>
      <c r="C9" s="273">
        <v>8</v>
      </c>
      <c r="D9" s="145"/>
      <c r="E9" s="145"/>
      <c r="F9" s="145"/>
      <c r="G9" s="277" t="s">
        <v>247</v>
      </c>
      <c r="H9" s="145"/>
      <c r="I9" s="145"/>
      <c r="J9" s="278" t="s">
        <v>248</v>
      </c>
      <c r="K9" s="278" t="s">
        <v>248</v>
      </c>
      <c r="L9" s="145"/>
      <c r="M9" s="145"/>
      <c r="N9" s="145"/>
      <c r="O9" s="145"/>
      <c r="P9" s="279" t="s">
        <v>249</v>
      </c>
      <c r="Q9" s="275"/>
      <c r="R9" s="276" t="s">
        <v>250</v>
      </c>
      <c r="S9" s="276" t="s">
        <v>250</v>
      </c>
      <c r="T9" s="276" t="s">
        <v>251</v>
      </c>
      <c r="U9" s="276" t="s">
        <v>251</v>
      </c>
      <c r="V9" s="145"/>
      <c r="W9" s="145"/>
      <c r="X9" s="145"/>
      <c r="Y9" s="145"/>
      <c r="Z9" s="147" t="s">
        <v>252</v>
      </c>
      <c r="AA9" s="145"/>
      <c r="AB9" s="145"/>
      <c r="AC9" s="145"/>
      <c r="AD9" s="145"/>
      <c r="AE9" s="145"/>
      <c r="AF9" s="280" t="s">
        <v>253</v>
      </c>
      <c r="AG9" s="145"/>
      <c r="AH9" s="145"/>
      <c r="AI9" s="281" t="s">
        <v>250</v>
      </c>
      <c r="AJ9" s="145"/>
      <c r="AK9" s="281" t="s">
        <v>250</v>
      </c>
      <c r="AL9" s="145"/>
      <c r="AM9" s="275">
        <f>B9</f>
        <v>4</v>
      </c>
      <c r="AN9" s="275"/>
    </row>
    <row r="10" spans="1:40" ht="12.75">
      <c r="A10" s="145">
        <f t="shared" si="1"/>
        <v>1</v>
      </c>
      <c r="B10" s="276">
        <f t="shared" si="0"/>
        <v>4</v>
      </c>
      <c r="C10" s="273">
        <v>9</v>
      </c>
      <c r="D10" s="145"/>
      <c r="E10" s="145"/>
      <c r="F10" s="145"/>
      <c r="G10" s="145"/>
      <c r="H10" s="277" t="s">
        <v>247</v>
      </c>
      <c r="I10" s="145"/>
      <c r="J10" s="276" t="s">
        <v>250</v>
      </c>
      <c r="K10" s="276" t="s">
        <v>250</v>
      </c>
      <c r="L10" s="276" t="s">
        <v>251</v>
      </c>
      <c r="M10" s="276" t="s">
        <v>251</v>
      </c>
      <c r="N10" s="145"/>
      <c r="O10" s="145"/>
      <c r="P10" s="279" t="s">
        <v>249</v>
      </c>
      <c r="Q10" s="275"/>
      <c r="R10" s="145"/>
      <c r="S10" s="145"/>
      <c r="T10" s="145"/>
      <c r="U10" s="281" t="s">
        <v>250</v>
      </c>
      <c r="V10" s="145"/>
      <c r="W10" s="145"/>
      <c r="X10" s="145"/>
      <c r="Y10" s="145"/>
      <c r="Z10" s="145"/>
      <c r="AA10" s="147" t="s">
        <v>252</v>
      </c>
      <c r="AB10" s="145"/>
      <c r="AC10" s="275"/>
      <c r="AD10" s="275"/>
      <c r="AE10" s="145"/>
      <c r="AF10" s="145"/>
      <c r="AG10" s="280" t="s">
        <v>253</v>
      </c>
      <c r="AH10" s="145"/>
      <c r="AI10" s="278" t="s">
        <v>248</v>
      </c>
      <c r="AJ10" s="278" t="s">
        <v>248</v>
      </c>
      <c r="AK10" s="281" t="s">
        <v>250</v>
      </c>
      <c r="AL10" s="145"/>
      <c r="AM10" s="275">
        <f>B10</f>
        <v>4</v>
      </c>
      <c r="AN10" s="275"/>
    </row>
    <row r="11" spans="1:40" ht="12.75">
      <c r="A11" s="145">
        <f t="shared" si="1"/>
        <v>1</v>
      </c>
      <c r="B11" s="276">
        <f t="shared" si="0"/>
        <v>2</v>
      </c>
      <c r="C11" s="273">
        <v>10</v>
      </c>
      <c r="D11" s="145"/>
      <c r="E11" s="145"/>
      <c r="F11" s="145"/>
      <c r="G11" s="145"/>
      <c r="H11" s="277" t="s">
        <v>247</v>
      </c>
      <c r="I11" s="145"/>
      <c r="J11" s="145"/>
      <c r="K11" s="145"/>
      <c r="L11" s="145"/>
      <c r="M11" s="145"/>
      <c r="N11" s="145"/>
      <c r="O11" s="145"/>
      <c r="P11" s="145"/>
      <c r="Q11" s="279" t="s">
        <v>249</v>
      </c>
      <c r="R11" s="145"/>
      <c r="S11" s="145"/>
      <c r="T11" s="275"/>
      <c r="U11" s="145"/>
      <c r="V11" s="145"/>
      <c r="W11" s="145"/>
      <c r="X11" s="145"/>
      <c r="Y11" s="147" t="s">
        <v>252</v>
      </c>
      <c r="Z11" s="145"/>
      <c r="AA11" s="276" t="s">
        <v>250</v>
      </c>
      <c r="AB11" s="276" t="s">
        <v>250</v>
      </c>
      <c r="AC11" s="276" t="s">
        <v>251</v>
      </c>
      <c r="AD11" s="276" t="s">
        <v>251</v>
      </c>
      <c r="AE11" s="145"/>
      <c r="AF11" s="145"/>
      <c r="AG11" s="145"/>
      <c r="AH11" s="280" t="s">
        <v>253</v>
      </c>
      <c r="AI11" s="145"/>
      <c r="AJ11" s="145"/>
      <c r="AK11" s="278" t="s">
        <v>248</v>
      </c>
      <c r="AL11" s="278" t="s">
        <v>248</v>
      </c>
      <c r="AM11" s="275">
        <f>B11</f>
        <v>2</v>
      </c>
      <c r="AN11" s="145"/>
    </row>
    <row r="12" spans="1:40" ht="12.75">
      <c r="A12" s="145">
        <f>COUNTIF(D12:AL12,"P")/2</f>
        <v>1</v>
      </c>
      <c r="B12" s="276">
        <f>COUNTIF(D12:AL12,"j1")</f>
        <v>3</v>
      </c>
      <c r="C12" s="273">
        <v>11</v>
      </c>
      <c r="D12" s="278" t="s">
        <v>248</v>
      </c>
      <c r="E12" s="278" t="s">
        <v>248</v>
      </c>
      <c r="F12" s="145"/>
      <c r="G12" s="145"/>
      <c r="H12" s="145"/>
      <c r="I12" s="277" t="s">
        <v>247</v>
      </c>
      <c r="J12" s="145"/>
      <c r="K12" s="145"/>
      <c r="L12" s="145"/>
      <c r="M12" s="145"/>
      <c r="N12" s="145"/>
      <c r="O12" s="145"/>
      <c r="P12" s="145"/>
      <c r="Q12" s="279" t="s">
        <v>249</v>
      </c>
      <c r="R12" s="145"/>
      <c r="S12" s="145"/>
      <c r="T12" s="275"/>
      <c r="U12" s="145"/>
      <c r="V12" s="145"/>
      <c r="W12" s="145"/>
      <c r="X12" s="145"/>
      <c r="Y12" s="145"/>
      <c r="Z12" s="147" t="s">
        <v>252</v>
      </c>
      <c r="AA12" s="145"/>
      <c r="AB12" s="145"/>
      <c r="AC12" s="276" t="s">
        <v>250</v>
      </c>
      <c r="AD12" s="276" t="s">
        <v>250</v>
      </c>
      <c r="AE12" s="276" t="s">
        <v>251</v>
      </c>
      <c r="AF12" s="276" t="s">
        <v>251</v>
      </c>
      <c r="AG12" s="145"/>
      <c r="AH12" s="145"/>
      <c r="AI12" s="280" t="s">
        <v>253</v>
      </c>
      <c r="AJ12" s="145"/>
      <c r="AK12" s="281" t="s">
        <v>250</v>
      </c>
      <c r="AL12" s="145"/>
      <c r="AM12" s="145"/>
      <c r="AN12" s="145"/>
    </row>
    <row r="13" spans="1:40" ht="12.75">
      <c r="A13" s="145">
        <f t="shared" si="1"/>
        <v>1</v>
      </c>
      <c r="B13" s="276">
        <f t="shared" si="0"/>
        <v>3</v>
      </c>
      <c r="C13" s="273">
        <v>12</v>
      </c>
      <c r="D13" s="145"/>
      <c r="E13" s="145"/>
      <c r="F13" s="145"/>
      <c r="G13" s="145"/>
      <c r="H13" s="145"/>
      <c r="I13" s="277" t="s">
        <v>247</v>
      </c>
      <c r="J13" s="145"/>
      <c r="K13" s="145"/>
      <c r="L13" s="276" t="s">
        <v>250</v>
      </c>
      <c r="M13" s="276" t="s">
        <v>250</v>
      </c>
      <c r="N13" s="276" t="s">
        <v>251</v>
      </c>
      <c r="O13" s="276" t="s">
        <v>251</v>
      </c>
      <c r="P13" s="145"/>
      <c r="Q13" s="145"/>
      <c r="R13" s="279" t="s">
        <v>249</v>
      </c>
      <c r="S13" s="275"/>
      <c r="T13" s="275"/>
      <c r="U13" s="278" t="s">
        <v>248</v>
      </c>
      <c r="V13" s="278" t="s">
        <v>248</v>
      </c>
      <c r="W13" s="275"/>
      <c r="X13" s="275"/>
      <c r="Y13" s="145"/>
      <c r="Z13" s="145"/>
      <c r="AA13" s="147" t="s">
        <v>252</v>
      </c>
      <c r="AB13" s="145"/>
      <c r="AC13" s="281" t="s">
        <v>250</v>
      </c>
      <c r="AD13" s="145"/>
      <c r="AE13" s="145"/>
      <c r="AF13" s="145"/>
      <c r="AG13" s="145"/>
      <c r="AH13" s="145"/>
      <c r="AI13" s="145"/>
      <c r="AJ13" s="280" t="s">
        <v>253</v>
      </c>
      <c r="AK13" s="145"/>
      <c r="AL13" s="145"/>
      <c r="AM13" s="275">
        <f>B13</f>
        <v>3</v>
      </c>
      <c r="AN13" s="275"/>
    </row>
    <row r="14" spans="1:40" ht="12.75">
      <c r="A14" s="145">
        <f t="shared" si="1"/>
        <v>1</v>
      </c>
      <c r="B14" s="276">
        <f t="shared" si="0"/>
        <v>3</v>
      </c>
      <c r="C14" s="273">
        <v>13</v>
      </c>
      <c r="D14" s="145"/>
      <c r="E14" s="145"/>
      <c r="F14" s="145"/>
      <c r="G14" s="145"/>
      <c r="H14" s="145"/>
      <c r="I14" s="145"/>
      <c r="J14" s="277" t="s">
        <v>247</v>
      </c>
      <c r="K14" s="145"/>
      <c r="L14" s="278" t="s">
        <v>248</v>
      </c>
      <c r="M14" s="278" t="s">
        <v>248</v>
      </c>
      <c r="N14" s="145"/>
      <c r="O14" s="145"/>
      <c r="P14" s="145"/>
      <c r="Q14" s="145"/>
      <c r="R14" s="279" t="s">
        <v>249</v>
      </c>
      <c r="S14" s="145"/>
      <c r="T14" s="275"/>
      <c r="U14" s="281" t="s">
        <v>250</v>
      </c>
      <c r="V14" s="145"/>
      <c r="W14" s="145"/>
      <c r="X14" s="145"/>
      <c r="Y14" s="145"/>
      <c r="Z14" s="145"/>
      <c r="AA14" s="145"/>
      <c r="AB14" s="147" t="s">
        <v>252</v>
      </c>
      <c r="AC14" s="145"/>
      <c r="AD14" s="145"/>
      <c r="AE14" s="145"/>
      <c r="AF14" s="145"/>
      <c r="AG14" s="145"/>
      <c r="AH14" s="280" t="s">
        <v>253</v>
      </c>
      <c r="AI14" s="145"/>
      <c r="AJ14" s="145"/>
      <c r="AK14" s="276" t="s">
        <v>250</v>
      </c>
      <c r="AL14" s="276" t="s">
        <v>250</v>
      </c>
      <c r="AM14" s="276" t="s">
        <v>251</v>
      </c>
      <c r="AN14" s="276" t="s">
        <v>251</v>
      </c>
    </row>
    <row r="15" spans="1:40" ht="12.75">
      <c r="A15" s="145">
        <f t="shared" si="1"/>
        <v>1</v>
      </c>
      <c r="B15" s="276">
        <f t="shared" si="0"/>
        <v>3</v>
      </c>
      <c r="C15" s="273">
        <v>14</v>
      </c>
      <c r="D15" s="145"/>
      <c r="E15" s="145"/>
      <c r="F15" s="145"/>
      <c r="G15" s="145"/>
      <c r="H15" s="145"/>
      <c r="I15" s="145"/>
      <c r="J15" s="277" t="s">
        <v>247</v>
      </c>
      <c r="K15" s="145"/>
      <c r="L15" s="145"/>
      <c r="M15" s="145"/>
      <c r="N15" s="275"/>
      <c r="O15" s="275"/>
      <c r="P15" s="275"/>
      <c r="Q15" s="145"/>
      <c r="R15" s="145"/>
      <c r="S15" s="279" t="s">
        <v>249</v>
      </c>
      <c r="T15" s="275"/>
      <c r="U15" s="276" t="s">
        <v>250</v>
      </c>
      <c r="V15" s="276" t="s">
        <v>250</v>
      </c>
      <c r="W15" s="276" t="s">
        <v>251</v>
      </c>
      <c r="X15" s="276" t="s">
        <v>251</v>
      </c>
      <c r="Y15" s="145"/>
      <c r="Z15" s="145"/>
      <c r="AA15" s="145"/>
      <c r="AB15" s="145"/>
      <c r="AC15" s="147" t="s">
        <v>252</v>
      </c>
      <c r="AD15" s="145"/>
      <c r="AE15" s="278" t="s">
        <v>248</v>
      </c>
      <c r="AF15" s="278" t="s">
        <v>248</v>
      </c>
      <c r="AG15" s="145"/>
      <c r="AH15" s="145"/>
      <c r="AI15" s="280" t="s">
        <v>253</v>
      </c>
      <c r="AJ15" s="145"/>
      <c r="AK15" s="281" t="s">
        <v>250</v>
      </c>
      <c r="AL15" s="145"/>
      <c r="AM15" s="275">
        <f>B15</f>
        <v>3</v>
      </c>
      <c r="AN15" s="275"/>
    </row>
    <row r="16" spans="1:40" ht="12.75">
      <c r="A16" s="145">
        <f t="shared" si="1"/>
        <v>1</v>
      </c>
      <c r="B16" s="276">
        <f t="shared" si="0"/>
        <v>2</v>
      </c>
      <c r="C16" s="273">
        <v>15</v>
      </c>
      <c r="D16" s="275"/>
      <c r="E16" s="275"/>
      <c r="F16" s="145"/>
      <c r="G16" s="145"/>
      <c r="H16" s="145"/>
      <c r="I16" s="145"/>
      <c r="J16" s="145"/>
      <c r="K16" s="277" t="s">
        <v>247</v>
      </c>
      <c r="L16" s="145"/>
      <c r="M16" s="145"/>
      <c r="N16" s="278" t="s">
        <v>248</v>
      </c>
      <c r="O16" s="278" t="s">
        <v>248</v>
      </c>
      <c r="P16" s="145"/>
      <c r="Q16" s="145"/>
      <c r="R16" s="145"/>
      <c r="S16" s="279" t="s">
        <v>249</v>
      </c>
      <c r="T16" s="275"/>
      <c r="U16" s="145"/>
      <c r="V16" s="145"/>
      <c r="W16" s="276" t="s">
        <v>250</v>
      </c>
      <c r="X16" s="276" t="s">
        <v>250</v>
      </c>
      <c r="Y16" s="276" t="s">
        <v>251</v>
      </c>
      <c r="Z16" s="276" t="s">
        <v>251</v>
      </c>
      <c r="AA16" s="145"/>
      <c r="AB16" s="145"/>
      <c r="AC16" s="145"/>
      <c r="AD16" s="147" t="s">
        <v>252</v>
      </c>
      <c r="AE16" s="145"/>
      <c r="AF16" s="145"/>
      <c r="AG16" s="145"/>
      <c r="AH16" s="145"/>
      <c r="AI16" s="145"/>
      <c r="AJ16" s="280" t="s">
        <v>253</v>
      </c>
      <c r="AK16" s="145"/>
      <c r="AL16" s="145"/>
      <c r="AM16" s="275">
        <f>B16</f>
        <v>2</v>
      </c>
      <c r="AN16" s="275"/>
    </row>
    <row r="17" spans="1:40" ht="12.75">
      <c r="A17" s="145">
        <f t="shared" si="1"/>
        <v>1</v>
      </c>
      <c r="B17" s="276">
        <f t="shared" si="0"/>
        <v>3</v>
      </c>
      <c r="C17" s="273">
        <v>16</v>
      </c>
      <c r="D17" s="276" t="s">
        <v>250</v>
      </c>
      <c r="E17" s="276" t="s">
        <v>250</v>
      </c>
      <c r="F17" s="276" t="s">
        <v>251</v>
      </c>
      <c r="G17" s="276" t="s">
        <v>251</v>
      </c>
      <c r="H17" s="145"/>
      <c r="I17" s="145"/>
      <c r="J17" s="145"/>
      <c r="K17" s="277" t="s">
        <v>247</v>
      </c>
      <c r="L17" s="145"/>
      <c r="M17" s="145"/>
      <c r="N17" s="275"/>
      <c r="O17" s="275"/>
      <c r="P17" s="278" t="s">
        <v>248</v>
      </c>
      <c r="Q17" s="278" t="s">
        <v>248</v>
      </c>
      <c r="R17" s="145"/>
      <c r="S17" s="145"/>
      <c r="T17" s="279" t="s">
        <v>249</v>
      </c>
      <c r="U17" s="145"/>
      <c r="V17" s="275"/>
      <c r="W17" s="145"/>
      <c r="X17" s="145"/>
      <c r="Y17" s="145"/>
      <c r="Z17" s="145"/>
      <c r="AA17" s="145"/>
      <c r="AB17" s="147" t="s">
        <v>252</v>
      </c>
      <c r="AC17" s="145"/>
      <c r="AD17" s="145"/>
      <c r="AE17" s="281" t="s">
        <v>250</v>
      </c>
      <c r="AF17" s="145"/>
      <c r="AG17" s="145"/>
      <c r="AH17" s="145"/>
      <c r="AI17" s="145"/>
      <c r="AJ17" s="145"/>
      <c r="AK17" s="280" t="s">
        <v>253</v>
      </c>
      <c r="AL17" s="145"/>
      <c r="AM17" s="275">
        <f>B17</f>
        <v>3</v>
      </c>
      <c r="AN17" s="275"/>
    </row>
    <row r="18" spans="1:40" ht="12.75">
      <c r="A18" s="145">
        <f t="shared" si="1"/>
        <v>1</v>
      </c>
      <c r="B18" s="276">
        <f t="shared" si="0"/>
        <v>5</v>
      </c>
      <c r="C18" s="273">
        <v>17</v>
      </c>
      <c r="D18" s="281" t="s">
        <v>250</v>
      </c>
      <c r="E18" s="145"/>
      <c r="F18" s="281" t="s">
        <v>250</v>
      </c>
      <c r="G18" s="145"/>
      <c r="H18" s="145"/>
      <c r="I18" s="145"/>
      <c r="J18" s="145"/>
      <c r="K18" s="145"/>
      <c r="L18" s="277" t="s">
        <v>247</v>
      </c>
      <c r="M18" s="145"/>
      <c r="N18" s="281" t="s">
        <v>250</v>
      </c>
      <c r="O18" s="145"/>
      <c r="P18" s="145"/>
      <c r="Q18" s="145"/>
      <c r="R18" s="145"/>
      <c r="S18" s="145"/>
      <c r="T18" s="279" t="s">
        <v>249</v>
      </c>
      <c r="U18" s="145"/>
      <c r="V18" s="275"/>
      <c r="W18" s="278" t="s">
        <v>248</v>
      </c>
      <c r="X18" s="278" t="s">
        <v>248</v>
      </c>
      <c r="Y18" s="145"/>
      <c r="Z18" s="145"/>
      <c r="AA18" s="145"/>
      <c r="AB18" s="145"/>
      <c r="AC18" s="147" t="s">
        <v>252</v>
      </c>
      <c r="AD18" s="145"/>
      <c r="AE18" s="276" t="s">
        <v>250</v>
      </c>
      <c r="AF18" s="276" t="s">
        <v>250</v>
      </c>
      <c r="AG18" s="276" t="s">
        <v>251</v>
      </c>
      <c r="AH18" s="276" t="s">
        <v>251</v>
      </c>
      <c r="AI18" s="145"/>
      <c r="AJ18" s="145"/>
      <c r="AK18" s="145"/>
      <c r="AL18" s="280" t="s">
        <v>253</v>
      </c>
      <c r="AM18" s="275">
        <f>B18</f>
        <v>5</v>
      </c>
      <c r="AN18" s="275"/>
    </row>
    <row r="19" spans="1:40" ht="12.75">
      <c r="A19" s="145"/>
      <c r="B19" s="145"/>
      <c r="C19" s="275"/>
      <c r="D19" s="275"/>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row>
    <row r="20" spans="1:40" ht="12.75">
      <c r="A20" s="145"/>
      <c r="B20" s="145"/>
      <c r="C20" s="275"/>
      <c r="D20" s="275">
        <v>1</v>
      </c>
      <c r="E20" s="275"/>
      <c r="F20" s="275">
        <v>2</v>
      </c>
      <c r="G20" s="275"/>
      <c r="H20" s="275">
        <v>3</v>
      </c>
      <c r="I20" s="275"/>
      <c r="J20" s="275">
        <v>4</v>
      </c>
      <c r="K20" s="275" t="s">
        <v>254</v>
      </c>
      <c r="L20" s="275">
        <v>5</v>
      </c>
      <c r="M20" s="275"/>
      <c r="N20" s="275">
        <v>6</v>
      </c>
      <c r="O20" s="275"/>
      <c r="P20" s="275">
        <v>7</v>
      </c>
      <c r="Q20" s="275"/>
      <c r="R20" s="275">
        <v>8</v>
      </c>
      <c r="S20" s="275"/>
      <c r="T20" s="275"/>
      <c r="U20" s="275">
        <v>9</v>
      </c>
      <c r="V20" s="275"/>
      <c r="W20" s="275">
        <v>10</v>
      </c>
      <c r="X20" s="275"/>
      <c r="Y20" s="275">
        <v>11</v>
      </c>
      <c r="Z20" s="275"/>
      <c r="AA20" s="275">
        <v>12</v>
      </c>
      <c r="AB20" s="275"/>
      <c r="AC20" s="275">
        <v>13</v>
      </c>
      <c r="AD20" s="275"/>
      <c r="AE20" s="275">
        <v>14</v>
      </c>
      <c r="AF20" s="275"/>
      <c r="AG20" s="275">
        <v>15</v>
      </c>
      <c r="AH20" s="275"/>
      <c r="AI20" s="275">
        <v>16</v>
      </c>
      <c r="AJ20" s="275"/>
      <c r="AK20" s="275">
        <v>17</v>
      </c>
      <c r="AL20" s="275"/>
      <c r="AM20" s="275"/>
      <c r="AN20" s="275"/>
    </row>
    <row r="21" spans="1:40" ht="12.75">
      <c r="A21" s="145"/>
      <c r="B21" s="145"/>
      <c r="C21" s="275"/>
      <c r="D21" s="275">
        <f>COUNTIF(D2:D18,"J1")</f>
        <v>2</v>
      </c>
      <c r="E21" s="275"/>
      <c r="F21" s="275">
        <f>COUNTIF(F2:F18,"J1")</f>
        <v>2</v>
      </c>
      <c r="G21" s="275"/>
      <c r="H21" s="275">
        <f>COUNTIF(H2:H18,"J1")</f>
        <v>1</v>
      </c>
      <c r="I21" s="275"/>
      <c r="J21" s="275">
        <f>COUNTIF(J2:J18,"J1")</f>
        <v>1</v>
      </c>
      <c r="K21" s="275"/>
      <c r="L21" s="275">
        <f>COUNTIF(L2:L18,"J1")</f>
        <v>1</v>
      </c>
      <c r="M21" s="275"/>
      <c r="N21" s="275">
        <f>COUNTIF(N2:N18,"J1")</f>
        <v>2</v>
      </c>
      <c r="O21" s="275"/>
      <c r="P21" s="275">
        <f>COUNTIF(P2:P18,"J1")</f>
        <v>3</v>
      </c>
      <c r="Q21" s="275"/>
      <c r="R21" s="275">
        <f>COUNTIF(R2:R18,"J1")</f>
        <v>2</v>
      </c>
      <c r="S21" s="275"/>
      <c r="T21" s="275"/>
      <c r="U21" s="275">
        <f>COUNTIF(U2:U18,"J1")</f>
        <v>3</v>
      </c>
      <c r="V21" s="275"/>
      <c r="W21" s="275">
        <f>COUNTIF(W2:W18,"J1")</f>
        <v>1</v>
      </c>
      <c r="X21" s="275"/>
      <c r="Y21" s="275">
        <f>COUNTIF(Y2:Y18,"J1")</f>
        <v>2</v>
      </c>
      <c r="Z21" s="275"/>
      <c r="AA21" s="275">
        <f>COUNTIF(AA2:AA18,"J1")</f>
        <v>2</v>
      </c>
      <c r="AB21" s="275"/>
      <c r="AC21" s="275">
        <f>COUNTIF(AC2:AC18,"J1")</f>
        <v>2</v>
      </c>
      <c r="AD21" s="275"/>
      <c r="AE21" s="275">
        <f>COUNTIF(AE2:AE18,"J1")</f>
        <v>4</v>
      </c>
      <c r="AF21" s="275"/>
      <c r="AG21" s="275">
        <f>COUNTIF(AG2:AG18,"J1")</f>
        <v>3</v>
      </c>
      <c r="AH21" s="275"/>
      <c r="AI21" s="275">
        <f>COUNTIF(AI2:AI18,"J1")</f>
        <v>5</v>
      </c>
      <c r="AJ21" s="275"/>
      <c r="AK21" s="275">
        <f>COUNTIF(AK2:AK18,"J1")</f>
        <v>9</v>
      </c>
      <c r="AL21" s="275"/>
      <c r="AM21" s="275"/>
      <c r="AN21" s="275"/>
    </row>
    <row r="22" spans="1:40" ht="12.75">
      <c r="A22" s="145"/>
      <c r="B22" s="145"/>
      <c r="C22" s="275"/>
      <c r="D22" s="282"/>
      <c r="E22" s="275"/>
      <c r="F22" s="282"/>
      <c r="G22" s="275"/>
      <c r="H22" s="282"/>
      <c r="I22" s="275"/>
      <c r="J22" s="282"/>
      <c r="K22" s="275"/>
      <c r="L22" s="282"/>
      <c r="M22" s="275"/>
      <c r="N22" s="282"/>
      <c r="O22" s="275"/>
      <c r="P22" s="282"/>
      <c r="Q22" s="275"/>
      <c r="R22" s="282"/>
      <c r="S22" s="275"/>
      <c r="T22" s="275"/>
      <c r="U22" s="282"/>
      <c r="V22" s="275"/>
      <c r="W22" s="282"/>
      <c r="X22" s="275"/>
      <c r="Y22" s="282"/>
      <c r="Z22" s="275"/>
      <c r="AA22" s="282"/>
      <c r="AB22" s="275"/>
      <c r="AC22" s="282"/>
      <c r="AD22" s="275"/>
      <c r="AE22" s="282"/>
      <c r="AF22" s="275"/>
      <c r="AG22" s="282"/>
      <c r="AH22" s="275"/>
      <c r="AI22" s="282"/>
      <c r="AJ22" s="275"/>
      <c r="AK22" s="282"/>
      <c r="AL22" s="275"/>
      <c r="AM22" s="275"/>
      <c r="AN22" s="275"/>
    </row>
    <row r="23" spans="1:40" s="73" customFormat="1" ht="12.75">
      <c r="A23" s="145"/>
      <c r="B23" s="145"/>
      <c r="C23" s="145"/>
      <c r="D23" s="145">
        <f>COUNTIF(D2:D18,"P")</f>
        <v>1</v>
      </c>
      <c r="E23" s="275"/>
      <c r="F23" s="145">
        <f aca="true" t="shared" si="2" ref="F23:AK23">COUNTIF(F2:F18,"P")</f>
        <v>1</v>
      </c>
      <c r="G23" s="275"/>
      <c r="H23" s="145">
        <f t="shared" si="2"/>
        <v>1</v>
      </c>
      <c r="I23" s="275"/>
      <c r="J23" s="145">
        <f t="shared" si="2"/>
        <v>1</v>
      </c>
      <c r="K23" s="275"/>
      <c r="L23" s="145">
        <f t="shared" si="2"/>
        <v>1</v>
      </c>
      <c r="M23" s="275"/>
      <c r="N23" s="145">
        <f t="shared" si="2"/>
        <v>1</v>
      </c>
      <c r="O23" s="275"/>
      <c r="P23" s="145">
        <f t="shared" si="2"/>
        <v>1</v>
      </c>
      <c r="Q23" s="275"/>
      <c r="R23" s="145">
        <f t="shared" si="2"/>
        <v>1</v>
      </c>
      <c r="S23" s="275"/>
      <c r="T23" s="275"/>
      <c r="U23" s="145">
        <f t="shared" si="2"/>
        <v>1</v>
      </c>
      <c r="V23" s="275"/>
      <c r="W23" s="145">
        <f t="shared" si="2"/>
        <v>1</v>
      </c>
      <c r="X23" s="275"/>
      <c r="Y23" s="145">
        <f t="shared" si="2"/>
        <v>1</v>
      </c>
      <c r="Z23" s="275"/>
      <c r="AA23" s="145">
        <f t="shared" si="2"/>
        <v>1</v>
      </c>
      <c r="AB23" s="275"/>
      <c r="AC23" s="145">
        <f t="shared" si="2"/>
        <v>1</v>
      </c>
      <c r="AD23" s="275"/>
      <c r="AE23" s="145">
        <f t="shared" si="2"/>
        <v>1</v>
      </c>
      <c r="AF23" s="275"/>
      <c r="AG23" s="145">
        <f t="shared" si="2"/>
        <v>1</v>
      </c>
      <c r="AH23" s="275"/>
      <c r="AI23" s="145">
        <f t="shared" si="2"/>
        <v>1</v>
      </c>
      <c r="AJ23" s="275"/>
      <c r="AK23" s="145">
        <f t="shared" si="2"/>
        <v>1</v>
      </c>
      <c r="AL23" s="145"/>
      <c r="AM23" s="145"/>
      <c r="AN23" s="145"/>
    </row>
  </sheetData>
  <conditionalFormatting sqref="D21:AK21">
    <cfRule type="cellIs" priority="1" dxfId="3" operator="equal" stopIfTrue="1">
      <formula>0</formula>
    </cfRule>
  </conditionalFormatting>
  <conditionalFormatting sqref="A23:IV23 A2:A18">
    <cfRule type="cellIs" priority="2" dxfId="4" operator="equal" stopIfTrue="1">
      <formula>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GKA &amp;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Schuh</dc:creator>
  <cp:keywords/>
  <dc:description/>
  <cp:lastModifiedBy>Michael Schuh</cp:lastModifiedBy>
  <cp:lastPrinted>2004-11-23T04:02:32Z</cp:lastPrinted>
  <dcterms:created xsi:type="dcterms:W3CDTF">2004-10-02T00:08:20Z</dcterms:created>
  <dcterms:modified xsi:type="dcterms:W3CDTF">2004-11-23T05:32:47Z</dcterms:modified>
  <cp:category/>
  <cp:version/>
  <cp:contentType/>
  <cp:contentStatus/>
</cp:coreProperties>
</file>